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<sst xmlns="http://schemas.openxmlformats.org/spreadsheetml/2006/main" count="2993" uniqueCount="2081">
  <si>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</si>
  <si>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</si>
  <si>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</si>
  <si>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</si>
  <si>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</si>
  <si>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</si>
  <si>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</si>
  <si>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</si>
  <si>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</si>
  <si>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</si>
  <si>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</si>
  <si>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</si>
  <si>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</si>
  <si>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</si>
  <si>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</si>
  <si>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</si>
  <si>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</si>
  <si>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</si>
  <si>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</si>
  <si>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</si>
  <si>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</si>
  <si>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</si>
  <si>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</si>
  <si>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</si>
  <si>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</si>
  <si>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</si>
  <si>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</si>
  <si>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</si>
  <si>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</si>
  <si>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</si>
  <si>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</si>
  <si>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</si>
  <si>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</si>
  <si>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</si>
  <si>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</si>
  <si>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</si>
  <si>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</si>
  <si>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</si>
  <si>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</si>
  <si>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</si>
  <si>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</si>
  <si>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</si>
  <si>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</si>
  <si>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</si>
  <si>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</si>
  <si>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</si>
  <si>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</si>
  <si>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</si>
  <si>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</si>
  <si>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</si>
  <si>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</si>
  <si>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</si>
  <si>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</si>
  <si>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</si>
  <si>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</si>
  <si>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</si>
  <si>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</si>
  <si>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</si>
  <si>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</si>
  <si>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</si>
  <si>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</si>
  <si>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</si>
  <si>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</si>
  <si>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</si>
  <si>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</si>
  <si>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</si>
  <si>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</si>
  <si>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</si>
  <si>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</si>
  <si>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</si>
  <si>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</si>
  <si>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</si>
  <si>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</si>
  <si>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</si>
  <si>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</si>
  <si>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</si>
  <si>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</si>
  <si>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</si>
  <si>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</si>
  <si>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</si>
  <si>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</si>
  <si>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</si>
  <si>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</si>
  <si>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</si>
  <si>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</si>
  <si>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</si>
  <si>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</si>
  <si>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</si>
  <si>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</si>
  <si>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</si>
  <si>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</si>
  <si>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</si>
  <si>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</si>
  <si>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</si>
  <si>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</si>
  <si>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</si>
  <si>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</si>
  <si>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</si>
  <si>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</si>
  <si>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</si>
  <si>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</si>
  <si>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</si>
  <si>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</si>
  <si>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</si>
  <si>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</si>
  <si>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</si>
  <si>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</si>
  <si>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</si>
  <si>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</si>
  <si>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</si>
  <si>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</si>
  <si>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</si>
  <si>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</si>
  <si>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</si>
  <si>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</si>
  <si>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</si>
  <si>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</si>
  <si>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</si>
  <si>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</si>
  <si>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</si>
  <si>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</si>
  <si>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</si>
  <si>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</si>
  <si>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</si>
  <si>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</si>
  <si>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</si>
  <si>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</si>
  <si>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</si>
  <si>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</si>
  <si>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</si>
  <si>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</si>
  <si>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</si>
  <si>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</si>
  <si>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</si>
  <si>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</si>
  <si>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</si>
  <si>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</si>
  <si>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</si>
  <si>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</si>
  <si>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</si>
  <si>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</si>
  <si>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</si>
  <si>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</si>
  <si>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</si>
  <si>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</si>
  <si>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</si>
  <si>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</si>
  <si>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</si>
  <si>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</si>
  <si>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</si>
  <si>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</si>
  <si>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</si>
  <si>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</si>
  <si>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</si>
  <si>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</si>
  <si>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</si>
  <si>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</si>
  <si>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</si>
  <si>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</si>
  <si>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</si>
  <si>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</si>
  <si>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</si>
  <si>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</si>
  <si>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</si>
  <si>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</si>
  <si>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</si>
  <si>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</si>
  <si>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</si>
  <si>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</si>
  <si>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</si>
  <si>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</si>
  <si>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</si>
  <si>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</si>
  <si>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</si>
  <si>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</si>
  <si>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</si>
  <si>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</si>
  <si>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</si>
  <si>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</si>
  <si>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</si>
  <si>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</si>
  <si>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</si>
  <si>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</si>
  <si>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</si>
  <si>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</si>
  <si>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</si>
  <si>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</si>
  <si>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</si>
  <si>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</si>
  <si>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</si>
  <si>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</si>
  <si>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</si>
  <si>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</si>
  <si>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</si>
  <si>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</si>
  <si>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</si>
  <si>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</si>
  <si>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</si>
  <si>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</si>
  <si>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</si>
  <si>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</si>
  <si>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</si>
  <si>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</si>
  <si>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</si>
  <si>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</si>
  <si>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</si>
  <si>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</si>
  <si>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</si>
  <si>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</si>
  <si>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</si>
  <si>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</si>
  <si>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</si>
  <si>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</si>
  <si>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</si>
  <si>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</si>
  <si>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</si>
  <si>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</si>
  <si>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</si>
  <si>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</si>
  <si>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</si>
  <si>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</si>
  <si>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</si>
  <si>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</si>
  <si>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</si>
  <si>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</si>
  <si>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</si>
  <si>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</si>
  <si>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</si>
  <si>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</si>
  <si>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</si>
  <si>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</si>
  <si>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</si>
  <si>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</si>
  <si>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</si>
  <si>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</si>
  <si>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</si>
  <si>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</si>
  <si>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</si>
  <si>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</si>
  <si>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</si>
  <si>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</si>
  <si>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</si>
  <si>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</si>
  <si>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</si>
  <si>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</si>
  <si>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</si>
  <si>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</si>
  <si>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</si>
  <si>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</si>
  <si>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</si>
  <si>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</si>
  <si>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</si>
  <si>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</si>
  <si>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</si>
  <si>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</si>
  <si>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</si>
  <si>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</si>
  <si>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</si>
  <si>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</si>
  <si>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</si>
  <si>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</si>
  <si>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</si>
  <si>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</si>
  <si>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</si>
  <si>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</si>
  <si>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</si>
  <si>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</si>
  <si>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</si>
  <si>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</si>
  <si>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</si>
  <si>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</si>
  <si>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</si>
  <si>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</si>
  <si>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</si>
  <si>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</si>
  <si>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</si>
  <si>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</si>
  <si>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</si>
  <si>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</si>
  <si>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</si>
  <si>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</si>
  <si>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</si>
  <si>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</si>
  <si>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</si>
  <si>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</si>
  <si>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</si>
  <si>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</si>
  <si>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</si>
  <si>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</si>
  <si>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</si>
  <si>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</si>
  <si>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</si>
  <si>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</si>
  <si>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</si>
  <si>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</si>
  <si>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</si>
  <si>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</si>
  <si>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</si>
  <si>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</si>
  <si>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</si>
  <si>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</si>
  <si>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</si>
  <si>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</si>
  <si>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</si>
  <si>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</si>
  <si>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</si>
  <si>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</si>
  <si>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</si>
  <si>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</si>
  <si>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</si>
  <si>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</si>
  <si>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</si>
  <si>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</si>
  <si>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</si>
  <si>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</si>
  <si>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</si>
  <si>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</si>
  <si>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</si>
  <si>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</si>
  <si>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</si>
  <si>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</si>
  <si>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</si>
  <si>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</si>
  <si>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</si>
  <si>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</si>
  <si>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</si>
  <si>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</si>
  <si>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</si>
  <si>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</si>
  <si>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</si>
  <si>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</si>
  <si>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</si>
  <si>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</si>
  <si>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</si>
  <si>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</si>
  <si>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</si>
  <si>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</si>
  <si>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</si>
  <si>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</si>
  <si>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</si>
  <si>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</si>
  <si>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</si>
  <si>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</si>
  <si>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</si>
  <si>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</si>
  <si>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</si>
  <si>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</si>
  <si>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</si>
  <si>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</si>
  <si>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</si>
  <si>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</si>
  <si>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</si>
  <si>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</si>
  <si>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</si>
  <si>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</si>
  <si>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</si>
  <si>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</si>
  <si>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</si>
  <si>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</si>
  <si>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</si>
  <si>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</si>
  <si>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</si>
  <si>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</si>
  <si>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</si>
  <si>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</si>
  <si>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</si>
  <si>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</si>
  <si>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</si>
  <si>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</si>
  <si>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</si>
  <si>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</si>
  <si>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</si>
  <si>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</si>
  <si>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</si>
  <si>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</si>
  <si>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</si>
  <si>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</si>
  <si>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</si>
  <si>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</si>
  <si>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</si>
  <si>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</si>
  <si>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</si>
  <si>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</si>
  <si>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</si>
  <si>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</si>
  <si>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</si>
  <si>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</si>
  <si>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</si>
  <si>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</si>
  <si>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</si>
  <si>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</si>
  <si>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</si>
  <si>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</si>
  <si>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</si>
  <si>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</si>
  <si>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</si>
  <si>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</si>
  <si>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</si>
  <si>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</si>
  <si>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</si>
  <si>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</si>
  <si>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</si>
  <si>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</si>
  <si>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</si>
  <si>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</si>
  <si>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</si>
  <si>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</si>
  <si>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</si>
  <si>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</si>
  <si>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</si>
  <si>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</si>
  <si>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</si>
  <si>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</si>
  <si>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</si>
  <si>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</si>
  <si>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</si>
  <si>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</si>
  <si>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</si>
  <si>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</si>
  <si>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</si>
  <si>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</si>
  <si>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</si>
  <si>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</si>
  <si>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</si>
  <si>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</si>
  <si>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</si>
  <si>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</si>
  <si>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</si>
  <si>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</si>
  <si>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</si>
  <si>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</si>
  <si>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</si>
  <si>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</si>
  <si>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</si>
  <si>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</si>
  <si>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</si>
  <si>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</si>
  <si>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</si>
  <si>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</si>
  <si>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</si>
  <si>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</si>
  <si>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</si>
  <si>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</si>
  <si>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</si>
  <si>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</si>
  <si>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</si>
  <si>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</si>
  <si>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</si>
  <si>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</si>
  <si>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</si>
  <si>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</si>
  <si>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</si>
  <si>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</si>
  <si>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</si>
  <si>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</si>
  <si>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</si>
  <si>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</si>
  <si>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</si>
  <si>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</si>
  <si>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</si>
  <si>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</si>
  <si>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</si>
  <si>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</si>
  <si>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</si>
  <si>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</si>
  <si>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</si>
  <si>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</si>
  <si>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</si>
  <si>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</si>
  <si>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</si>
  <si>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</si>
  <si>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</si>
  <si>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</si>
  <si>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</si>
  <si>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</si>
  <si>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</si>
  <si>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</si>
  <si>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</si>
  <si>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</si>
  <si>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</si>
  <si>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</si>
  <si>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</si>
  <si>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</si>
  <si>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</si>
  <si>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</si>
  <si>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</si>
  <si>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</si>
  <si>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</si>
  <si>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</si>
  <si>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</si>
  <si>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</si>
  <si>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</si>
  <si>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</si>
  <si>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</si>
  <si>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</si>
  <si>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</si>
  <si>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</si>
  <si>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</si>
  <si>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</si>
  <si>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</si>
  <si>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</si>
  <si>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</si>
  <si>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</si>
  <si>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</si>
  <si>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</si>
  <si>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</si>
  <si>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</si>
  <si>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</si>
  <si>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</si>
  <si>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</si>
  <si>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</si>
  <si>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</si>
  <si>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</si>
  <si>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</si>
  <si>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</si>
  <si>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</si>
  <si>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</si>
  <si>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</si>
  <si>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</si>
  <si>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</si>
  <si>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</si>
  <si>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</si>
  <si>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</si>
  <si>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</si>
  <si>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</si>
  <si>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</si>
  <si>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</si>
  <si>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</si>
  <si>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</si>
  <si>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</si>
  <si>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</si>
  <si>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</si>
  <si>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</si>
  <si>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</si>
  <si>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</si>
  <si>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</si>
  <si>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</si>
  <si>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</si>
  <si>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</si>
  <si>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</si>
  <si>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</si>
  <si>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</si>
  <si>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</si>
  <si>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</si>
  <si>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</si>
  <si>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</si>
  <si>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</si>
  <si>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</si>
  <si>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</si>
  <si>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</si>
  <si>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</si>
  <si>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</si>
  <si>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</si>
  <si>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</si>
  <si>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</si>
  <si>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</si>
  <si>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</si>
  <si>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</si>
  <si>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</si>
  <si>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</si>
  <si>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</si>
  <si>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</si>
  <si>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</si>
  <si>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</si>
  <si>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</si>
  <si>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</si>
  <si>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</si>
  <si>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</si>
  <si>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</si>
  <si>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</si>
  <si>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</si>
  <si>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</si>
  <si>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</si>
  <si>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</si>
  <si>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</si>
  <si>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</si>
  <si>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</si>
  <si>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</si>
  <si>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</si>
  <si>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</si>
  <si>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</si>
  <si>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</si>
  <si>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</si>
  <si>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</si>
  <si>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</si>
  <si>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</si>
  <si>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</si>
  <si>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</si>
  <si>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</si>
  <si>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</si>
  <si>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</si>
  <si>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</si>
  <si>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</si>
  <si>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</si>
  <si>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</si>
  <si>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</si>
  <si>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</si>
  <si>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</si>
  <si>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</si>
  <si>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</si>
  <si>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</si>
  <si>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</si>
  <si>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</si>
  <si>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</si>
  <si>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</si>
  <si>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</si>
  <si>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</si>
  <si>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</si>
  <si>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</si>
  <si>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</si>
  <si>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</si>
  <si>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</si>
  <si>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</si>
  <si>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</si>
  <si>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</si>
  <si>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</si>
  <si>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</si>
  <si>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</si>
  <si>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</si>
  <si>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</si>
  <si>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</si>
  <si>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</si>
  <si>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</si>
  <si>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</si>
  <si>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</si>
  <si>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</si>
  <si>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</si>
  <si>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</si>
  <si>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</si>
  <si>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</si>
  <si>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</si>
  <si>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</si>
  <si>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</si>
  <si>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</si>
  <si>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</si>
  <si>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</si>
  <si>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</si>
  <si>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</si>
  <si>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</si>
  <si>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</si>
  <si>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</si>
  <si>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</si>
  <si>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</si>
  <si>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</si>
  <si>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</si>
  <si>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</si>
  <si>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</si>
  <si>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</si>
  <si>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</si>
  <si>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</si>
  <si>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</si>
  <si>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</si>
  <si>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</si>
  <si>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</si>
  <si>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</si>
  <si>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</si>
  <si>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</si>
  <si>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</si>
  <si>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</si>
  <si>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</si>
  <si>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</si>
  <si>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</si>
  <si>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</si>
  <si>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</si>
  <si>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</si>
  <si>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</si>
  <si>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</si>
  <si>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</si>
  <si>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</si>
  <si>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</si>
  <si>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</si>
  <si>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</si>
  <si>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</si>
  <si>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</si>
  <si>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</si>
  <si>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</si>
  <si>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</si>
  <si>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</si>
  <si>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</si>
  <si>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</si>
  <si>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</si>
  <si>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</si>
  <si>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</si>
  <si>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</si>
  <si>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</si>
  <si>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</si>
  <si>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</si>
  <si>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</si>
  <si>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</si>
  <si>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</si>
  <si>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</si>
  <si>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</si>
  <si>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</si>
  <si>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</si>
  <si>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</si>
  <si>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</si>
  <si>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</si>
  <si>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</si>
  <si>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</si>
  <si>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</si>
  <si>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</si>
  <si>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</si>
  <si>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</si>
  <si>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</si>
  <si>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</si>
  <si>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</si>
  <si>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</si>
  <si>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</si>
  <si>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</si>
  <si>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</si>
  <si>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</si>
  <si>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</si>
  <si>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</si>
  <si>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</si>
  <si>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</si>
  <si>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</si>
  <si>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</si>
  <si>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</si>
  <si>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</si>
  <si>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</si>
  <si>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</si>
  <si>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</si>
  <si>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</si>
  <si>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</si>
  <si>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</si>
  <si>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</si>
  <si>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</si>
  <si>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</si>
  <si>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</si>
  <si>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</si>
  <si>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</si>
  <si>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</si>
  <si>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</si>
  <si>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</si>
  <si>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</si>
  <si>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</si>
  <si>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</si>
  <si>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</si>
  <si>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</si>
  <si>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</si>
  <si>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</si>
  <si>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</si>
  <si>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</si>
  <si>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</si>
  <si>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</si>
  <si>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</si>
  <si>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</si>
  <si>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</si>
  <si>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</si>
  <si>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</si>
  <si>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</si>
  <si>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</si>
  <si>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</si>
  <si>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</si>
  <si>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</si>
  <si>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</si>
  <si>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</si>
  <si>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</si>
  <si>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</si>
  <si>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</si>
  <si>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</si>
  <si>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</si>
  <si>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</si>
  <si>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</si>
  <si>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</si>
  <si>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</si>
  <si>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</si>
  <si>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</si>
  <si>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</si>
  <si>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</si>
  <si>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</si>
  <si>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</si>
  <si>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</si>
  <si>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</si>
  <si>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</si>
  <si>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</si>
  <si>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</si>
  <si>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</si>
  <si>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</si>
  <si>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</si>
  <si>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</si>
  <si>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</si>
  <si>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</si>
  <si>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</si>
  <si>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</si>
  <si>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</si>
  <si>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</si>
  <si>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</si>
  <si>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</si>
  <si>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</si>
  <si>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</si>
  <si>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</si>
  <si>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</si>
  <si>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</si>
  <si>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</si>
  <si>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</si>
  <si>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</si>
  <si>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</si>
  <si>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</si>
  <si>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</si>
  <si>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</si>
  <si>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</si>
  <si>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</si>
  <si>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</si>
  <si>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</si>
  <si>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</si>
  <si>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</si>
  <si>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</si>
  <si>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</si>
  <si>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</si>
  <si>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</si>
  <si>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</si>
  <si>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</si>
  <si>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</si>
  <si>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</si>
  <si>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</si>
  <si>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</si>
  <si>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</si>
  <si>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</si>
  <si>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</si>
  <si>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</si>
  <si>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</si>
  <si>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</si>
  <si>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</si>
  <si>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</si>
  <si>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</si>
  <si>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</si>
  <si>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</si>
  <si>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</si>
  <si>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</si>
  <si>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</si>
  <si>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</si>
  <si>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</si>
  <si>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</si>
  <si>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</si>
  <si>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</si>
  <si>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</si>
  <si>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</si>
  <si>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</si>
  <si>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</si>
  <si>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</si>
  <si>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</si>
  <si>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</si>
  <si>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</si>
  <si>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</si>
  <si>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</si>
  <si>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</si>
  <si>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</si>
  <si>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</si>
  <si>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</si>
  <si>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</si>
  <si>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</si>
  <si>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</si>
  <si>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</si>
  <si>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</si>
  <si>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</si>
  <si>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</si>
  <si>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</si>
  <si>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</si>
  <si>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</si>
  <si>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</si>
  <si>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</si>
  <si>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</si>
  <si>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</si>
  <si>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</si>
  <si>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</si>
  <si>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</si>
  <si>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</si>
  <si>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</si>
  <si>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</si>
  <si>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</si>
  <si>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</si>
  <si>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</si>
  <si>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</si>
  <si>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</si>
  <si>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</si>
  <si>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</si>
  <si>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</si>
  <si>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</si>
  <si>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</si>
  <si>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</si>
  <si>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</si>
  <si>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</si>
  <si>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</si>
  <si>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</si>
  <si>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</si>
  <si>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</si>
  <si>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</si>
  <si>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</si>
  <si>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</si>
  <si>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</si>
  <si>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</si>
  <si>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</si>
  <si>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</si>
  <si>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</si>
  <si>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</si>
  <si>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</si>
  <si>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</si>
  <si>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</si>
  <si>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</si>
  <si>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</si>
  <si>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</si>
  <si>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</si>
  <si>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</si>
  <si>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</si>
  <si>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</si>
  <si>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</si>
  <si>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</si>
  <si>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</si>
  <si>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</si>
  <si>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</si>
  <si>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</si>
  <si>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</si>
  <si>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</si>
  <si>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</si>
  <si>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</si>
  <si>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</si>
  <si>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</si>
  <si>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</si>
  <si>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</si>
  <si>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</si>
  <si>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</si>
  <si>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</si>
  <si>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</si>
  <si>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</si>
  <si>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</si>
  <si>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</si>
  <si>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</si>
  <si>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</si>
  <si>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</si>
  <si>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</si>
  <si>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</si>
  <si>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</si>
  <si>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</si>
  <si>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</si>
  <si>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</si>
  <si>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</si>
  <si>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</si>
  <si>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</si>
  <si>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</si>
  <si>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</si>
  <si>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</si>
  <si>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</si>
  <si>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</si>
  <si>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</si>
  <si>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</si>
  <si>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</si>
  <si>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</si>
  <si>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</si>
  <si>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</si>
  <si>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</si>
  <si>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</si>
  <si>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</si>
  <si>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</si>
  <si>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</si>
  <si>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</si>
  <si>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</si>
  <si>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</si>
  <si>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</si>
  <si>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</si>
  <si>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</si>
  <si>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</si>
  <si>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</si>
  <si>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</si>
  <si>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</si>
  <si>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</si>
  <si>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</si>
  <si>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</si>
  <si>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</si>
  <si>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</si>
  <si>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</si>
  <si>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</si>
  <si>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</si>
  <si>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</si>
  <si>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</si>
  <si>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</si>
  <si>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</si>
  <si>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</si>
  <si>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</si>
  <si>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</si>
  <si>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</si>
  <si>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</si>
  <si>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</si>
  <si>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</si>
  <si>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</si>
  <si>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</si>
  <si>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</si>
  <si>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</si>
  <si>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</si>
  <si>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</si>
  <si>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</si>
  <si>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</si>
  <si>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</si>
  <si>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</si>
  <si>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</si>
  <si>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</si>
  <si>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</si>
  <si>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</si>
  <si>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</si>
  <si>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</si>
  <si>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</si>
  <si>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</si>
  <si>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</si>
  <si>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</si>
  <si>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</si>
  <si>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</si>
  <si>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</si>
  <si>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</si>
  <si>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</si>
  <si>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</si>
  <si>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</si>
  <si>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</si>
  <si>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</si>
  <si>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</si>
  <si>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</si>
  <si>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</si>
  <si>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</si>
  <si>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</si>
  <si>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</si>
  <si>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</si>
  <si>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</si>
  <si>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</si>
  <si>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</si>
  <si>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</si>
  <si>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</si>
  <si>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</si>
  <si>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</si>
  <si>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</si>
  <si>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</si>
  <si>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</si>
  <si>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</si>
  <si>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</si>
  <si>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</si>
  <si>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</si>
  <si>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</si>
  <si>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</si>
  <si>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</si>
  <si>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</si>
  <si>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</si>
  <si>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</si>
  <si>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</si>
  <si>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</si>
  <si>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</si>
  <si>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</si>
  <si>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</si>
  <si>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</si>
  <si>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</si>
  <si>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</si>
  <si>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</si>
  <si>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</si>
  <si>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</si>
  <si>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</si>
  <si>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</si>
  <si>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</si>
  <si>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</si>
  <si>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</si>
  <si>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</si>
  <si>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</si>
  <si>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</si>
  <si>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</si>
  <si>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</si>
  <si>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</si>
  <si>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</si>
  <si>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</si>
  <si>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</si>
  <si>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</si>
  <si>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</si>
  <si>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</si>
  <si>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</si>
  <si>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</si>
  <si>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</si>
  <si>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</si>
  <si>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</si>
  <si>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</si>
  <si>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</si>
  <si>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</si>
  <si>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</si>
  <si>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</si>
  <si>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</si>
  <si>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</si>
  <si>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</si>
  <si>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</si>
  <si>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</si>
  <si>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</si>
  <si>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</si>
  <si>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</si>
  <si>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</si>
  <si>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</si>
  <si>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</si>
  <si>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</si>
  <si>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</si>
  <si>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</si>
  <si>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</si>
  <si>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</si>
  <si>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</si>
  <si>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</si>
  <si>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</si>
  <si>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</si>
  <si>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</si>
  <si>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</si>
  <si>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</si>
  <si>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</si>
  <si>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</si>
  <si>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</si>
  <si>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</si>
  <si>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</si>
  <si>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</si>
  <si>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</si>
  <si>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</si>
  <si>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</si>
  <si>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</si>
  <si>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</si>
  <si>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</si>
  <si>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</si>
  <si>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</si>
  <si>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</si>
  <si>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</si>
  <si>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</si>
  <si>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</si>
  <si>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</si>
  <si>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</si>
  <si>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</si>
  <si>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</si>
  <si>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</si>
  <si>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</si>
  <si>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</si>
  <si>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</si>
  <si>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</si>
  <si>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</si>
  <si>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</si>
  <si>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</si>
  <si>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</si>
  <si>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</si>
  <si>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</si>
  <si>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</si>
  <si>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</si>
  <si>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</si>
  <si>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</si>
  <si>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</si>
  <si>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</si>
  <si>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</si>
  <si>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</si>
  <si>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</si>
  <si>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</si>
  <si>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</si>
  <si>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</si>
  <si>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</si>
  <si>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</si>
  <si>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</si>
  <si>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</si>
  <si>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</si>
  <si>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</si>
  <si>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</si>
  <si>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</si>
  <si>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</si>
  <si>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</si>
  <si>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</si>
  <si>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</si>
  <si>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</si>
  <si>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</si>
  <si>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</si>
  <si>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</si>
  <si>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</si>
  <si>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</si>
  <si>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</si>
  <si>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</si>
  <si>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</si>
  <si>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</si>
  <si>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</si>
  <si>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</si>
  <si>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</si>
  <si>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</si>
  <si>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</si>
  <si>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</si>
  <si>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</si>
  <si>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</si>
  <si>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</si>
  <si>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</si>
  <si>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</si>
  <si>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</si>
  <si>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</si>
  <si>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</si>
  <si>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</si>
  <si>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</si>
  <si>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</si>
  <si>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</si>
  <si>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</si>
  <si>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</si>
  <si>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</si>
  <si>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</si>
  <si>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</si>
  <si>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</si>
  <si>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</si>
  <si>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</si>
  <si>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</si>
  <si>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</si>
  <si>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</si>
  <si>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</si>
  <si>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</si>
  <si>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</si>
  <si>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</si>
  <si>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</si>
  <si>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</si>
  <si>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</si>
  <si>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</si>
  <si>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</si>
  <si>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</si>
  <si>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</si>
  <si>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</si>
  <si>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</si>
  <si>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</si>
  <si>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</si>
  <si>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</si>
  <si>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</si>
  <si>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</si>
  <si>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</si>
  <si>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</si>
  <si>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</si>
  <si>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</si>
  <si>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</si>
  <si>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</si>
  <si>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</si>
  <si>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</si>
  <si>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</si>
  <si>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</si>
  <si>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</si>
  <si>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</si>
  <si>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</si>
  <si>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</si>
  <si>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</si>
  <si>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</si>
  <si>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</si>
  <si>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</si>
  <si>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</si>
  <si>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</si>
  <si>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</si>
  <si>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</si>
  <si>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</si>
  <si>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</si>
  <si>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</si>
  <si>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</si>
  <si>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</si>
  <si>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</si>
  <si>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</si>
  <si>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</si>
  <si>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</si>
  <si>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</si>
  <si>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</si>
  <si>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</si>
  <si>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</si>
  <si>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</si>
  <si>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</si>
  <si>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</si>
  <si>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</si>
  <si>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</si>
  <si>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</si>
  <si>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</si>
  <si>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</si>
  <si>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</si>
  <si>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</si>
  <si>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</si>
  <si>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</si>
  <si>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</si>
  <si>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</si>
  <si>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</si>
  <si>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</si>
  <si>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</si>
  <si>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</si>
  <si>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</si>
  <si>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</si>
  <si>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</si>
  <si>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</si>
  <si>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</si>
  <si>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</si>
  <si>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</si>
  <si>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</si>
  <si>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</si>
  <si>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</si>
  <si>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</si>
  <si>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</si>
  <si>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</si>
  <si>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</si>
  <si>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</si>
  <si>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</si>
  <si>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</si>
  <si>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</si>
  <si>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</si>
  <si>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</si>
  <si>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</si>
  <si>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</si>
  <si>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</si>
  <si>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</si>
  <si>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</si>
  <si>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</si>
  <si>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</si>
  <si>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</si>
  <si>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</si>
  <si>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</si>
  <si>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</si>
  <si>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</si>
  <si>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</si>
  <si>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</si>
  <si>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</si>
  <si>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</si>
  <si>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</si>
  <si>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</si>
  <si>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</si>
  <si>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</si>
  <si>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</si>
  <si>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</si>
  <si>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</si>
  <si>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</si>
  <si>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</si>
  <si>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</si>
  <si>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</si>
  <si>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</si>
  <si>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</si>
  <si>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</si>
  <si>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</si>
  <si>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</si>
  <si>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</si>
  <si>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</si>
  <si>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</si>
  <si>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</si>
  <si>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</si>
  <si>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</si>
  <si>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</si>
  <si>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</si>
  <si>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</si>
  <si>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</si>
  <si>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</si>
  <si>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</si>
  <si>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</si>
  <si>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</si>
  <si>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</si>
  <si>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</si>
  <si>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</si>
  <si>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</si>
  <si>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</si>
  <si>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</si>
  <si>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</si>
  <si>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</si>
  <si>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</si>
  <si>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</si>
  <si>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</si>
  <si>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</si>
  <si>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</si>
  <si>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</si>
  <si>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</si>
  <si>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</si>
  <si>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</si>
  <si>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</si>
  <si>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</si>
  <si>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</si>
  <si>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</si>
  <si>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</si>
  <si>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</si>
  <si>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</si>
  <si>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</si>
  <si>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</si>
  <si>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</si>
  <si>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</si>
  <si>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</si>
  <si>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</si>
  <si>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</si>
  <si>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</si>
  <si>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</si>
  <si>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</si>
  <si>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</si>
  <si>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</si>
  <si>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</si>
  <si>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</si>
  <si>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</si>
  <si>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</si>
  <si>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</si>
  <si>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</si>
  <si>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</si>
  <si>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</si>
  <si>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</si>
  <si>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</si>
  <si>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</si>
  <si>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</si>
  <si>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</si>
  <si>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</si>
  <si>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</si>
  <si>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</si>
  <si>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</si>
  <si>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</si>
  <si>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</si>
  <si>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</si>
  <si>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</si>
  <si>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</si>
  <si>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</si>
  <si>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</si>
  <si>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</si>
  <si>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</si>
  <si>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</si>
  <si>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</si>
  <si>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</si>
  <si>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</si>
  <si>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</si>
  <si>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</si>
  <si>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</si>
  <si>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</si>
  <si>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</si>
  <si>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</si>
  <si>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</si>
  <si>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</si>
  <si>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</si>
  <si>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</si>
  <si>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</si>
  <si>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</si>
  <si>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</si>
  <si>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</si>
  <si>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</si>
  <si>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</si>
  <si>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</si>
  <si>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</si>
  <si>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</si>
  <si>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</si>
  <si>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</si>
  <si>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</si>
  <si>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</si>
  <si>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</si>
  <si>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</si>
  <si>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</si>
  <si>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</si>
  <si>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</si>
  <si>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</si>
  <si>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</si>
  <si>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</si>
  <si>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</si>
  <si>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</si>
  <si>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</si>
  <si>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</si>
  <si>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</si>
  <si>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</si>
  <si>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</si>
  <si>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</si>
  <si>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</si>
  <si>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</si>
  <si>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</si>
  <si>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</si>
  <si>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</si>
  <si>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</si>
  <si>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</si>
  <si>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</si>
  <si>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</si>
  <si>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</si>
  <si>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</si>
  <si>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</si>
  <si>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</si>
  <si>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</si>
  <si>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</si>
  <si>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</si>
  <si>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</si>
  <si>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</si>
  <si>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</si>
  <si>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</si>
  <si>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</si>
  <si>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</si>
  <si>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</si>
  <si>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</si>
  <si>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</si>
  <si>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</si>
  <si>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</si>
  <si>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</si>
  <si>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</si>
  <si>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</si>
  <si>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</si>
  <si>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</si>
  <si>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</si>
  <si>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</si>
  <si>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</si>
  <si>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</si>
  <si>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</si>
  <si>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</si>
  <si>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</si>
  <si>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</si>
  <si>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</si>
  <si>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</si>
  <si>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</si>
  <si>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</si>
  <si>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</si>
  <si>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</si>
  <si>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</si>
  <si>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</si>
  <si>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</si>
  <si>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</si>
  <si>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</si>
  <si>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</si>
  <si>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</si>
  <si>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</si>
  <si>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</si>
  <si>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</si>
  <si>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</si>
  <si>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</si>
  <si>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</si>
  <si>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</si>
  <si>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</si>
  <si>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</si>
  <si>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</si>
  <si>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</si>
  <si>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</si>
  <si>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</si>
  <si>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</si>
  <si>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</si>
  <si>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</si>
  <si>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</si>
  <si>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</si>
  <si>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</si>
  <si>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</si>
  <si>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</si>
  <si>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</si>
  <si>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</si>
  <si>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</si>
  <si>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</si>
  <si>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</si>
  <si>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</si>
  <si>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</si>
  <si>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</si>
  <si>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</si>
  <si>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</si>
  <si>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</si>
  <si>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</si>
  <si>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</si>
  <si>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</si>
  <si>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</si>
  <si>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</si>
  <si>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</si>
  <si>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</si>
  <si>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</si>
  <si>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</si>
  <si>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</si>
  <si>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</si>
  <si>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</si>
  <si>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</si>
  <si>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</si>
  <si>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</si>
  <si>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</si>
  <si>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</si>
  <si>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</si>
  <si>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</si>
  <si>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</si>
  <si>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</si>
  <si>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</si>
  <si>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</si>
  <si>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</si>
  <si>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</si>
  <si>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</si>
  <si>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</si>
  <si>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</si>
  <si>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</si>
  <si>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</si>
  <si>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</si>
  <si>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</si>
  <si>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</si>
  <si>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</si>
  <si>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</si>
  <si>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</si>
  <si>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</si>
  <si>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</si>
  <si>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</si>
  <si>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</si>
  <si>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</si>
  <si>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</si>
  <si>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</si>
  <si>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</si>
  <si>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</si>
  <si>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</si>
  <si>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</si>
  <si>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</si>
  <si>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</si>
  <si>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</si>
  <si>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</si>
  <si>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</si>
  <si>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</si>
  <si>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</si>
  <si>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</si>
  <si>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</si>
  <si>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</si>
  <si>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</si>
  <si>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</si>
  <si>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</si>
  <si>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</si>
  <si>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</si>
  <si>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</si>
  <si>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</si>
  <si>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</si>
  <si>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</si>
  <si>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</si>
  <si>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</si>
  <si>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</si>
  <si>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</si>
  <si>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</si>
  <si>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</si>
  <si>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</si>
  <si>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</si>
  <si>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</si>
  <si>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</si>
  <si>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</si>
  <si>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</si>
  <si>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</si>
  <si>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</si>
  <si>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</si>
  <si>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</si>
  <si>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</si>
  <si>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</si>
  <si>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</si>
  <si>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</si>
  <si>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</si>
  <si>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</si>
  <si>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</si>
  <si>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</si>
  <si>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</si>
  <si>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</si>
  <si>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</si>
  <si>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</si>
  <si>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</si>
  <si>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</si>
  <si>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</si>
  <si>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</si>
  <si>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</si>
  <si>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</si>
  <si>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</si>
  <si>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</si>
  <si>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</si>
  <si>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</si>
  <si>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</si>
  <si>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</si>
  <si>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</si>
  <si>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</si>
  <si>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</si>
  <si>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</si>
  <si>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</si>
  <si>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</si>
  <si>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</si>
  <si>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</si>
  <si>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</si>
  <si>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</si>
  <si>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</si>
  <si>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</si>
  <si>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</si>
  <si>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</si>
  <si>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</si>
  <si>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</si>
  <si>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</si>
  <si>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</si>
  <si>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</si>
  <si>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</si>
  <si>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</si>
  <si>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</si>
  <si>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</si>
  <si>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</si>
  <si>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</si>
  <si>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</si>
  <si>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</si>
  <si>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</si>
  <si>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</si>
  <si>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</si>
  <si>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</si>
  <si>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</si>
  <si>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</si>
  <si>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</si>
  <si>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</si>
  <si>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</si>
  <si>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</si>
  <si>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</si>
  <si>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</si>
  <si>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</si>
  <si>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</si>
  <si>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</si>
  <si>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</si>
  <si>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</si>
  <si>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</si>
  <si>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</si>
  <si>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</si>
  <si>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</si>
  <si>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</si>
  <si>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</si>
  <si>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</si>
  <si>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</si>
  <si>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</si>
  <si>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</si>
  <si>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</si>
  <si>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</si>
  <si>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</si>
  <si>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</si>
  <si>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</si>
  <si>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</si>
  <si>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</si>
  <si>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</si>
  <si>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</si>
  <si>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</si>
  <si>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</si>
  <si>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</si>
  <si>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</si>
  <si>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</si>
  <si>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</si>
  <si>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</si>
  <si>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</si>
  <si>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</si>
  <si>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</si>
  <si>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</si>
  <si>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</si>
  <si>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</si>
  <si>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</si>
  <si>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</si>
  <si>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</si>
  <si>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</si>
  <si>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</si>
  <si>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</si>
  <si>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</si>
  <si>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</si>
  <si>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</si>
  <si>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</si>
  <si>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</si>
  <si>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</si>
  <si>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</si>
  <si>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</si>
  <si>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</si>
  <si>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</si>
  <si>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</si>
  <si>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</si>
  <si>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</si>
  <si>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</si>
  <si>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</si>
  <si>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</si>
  <si>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</si>
  <si>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</si>
  <si>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</si>
  <si>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</si>
  <si>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</si>
  <si>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</si>
  <si>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</si>
  <si>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</si>
  <si>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</si>
  <si>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</si>
  <si>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</si>
  <si>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</si>
  <si>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</si>
  <si>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</si>
  <si>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</si>
  <si>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</si>
  <si>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</si>
  <si>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</si>
  <si>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</si>
  <si>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</si>
  <si>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</si>
  <si>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</si>
  <si>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</si>
  <si>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</si>
  <si>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</si>
  <si>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</si>
  <si>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</si>
  <si>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</si>
  <si>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</si>
  <si>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</si>
  <si>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</si>
  <si>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</si>
  <si>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</si>
  <si>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</si>
  <si>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</si>
  <si>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</si>
  <si>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</si>
  <si>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</si>
  <si>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</si>
  <si>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</si>
  <si>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</si>
  <si>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</si>
  <si>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</si>
  <si>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</si>
  <si>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</si>
  <si>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</si>
  <si>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</si>
  <si>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</si>
  <si>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</si>
  <si>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</si>
  <si>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</si>
  <si>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</si>
  <si>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</si>
  <si>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</si>
  <si>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</si>
  <si>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</si>
  <si>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</si>
  <si>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</si>
  <si>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</si>
  <si>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</si>
  <si>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</si>
  <si>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</si>
  <si>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</si>
  <si>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</si>
  <si>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</si>
  <si>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</si>
  <si>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</si>
  <si>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</si>
  <si>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</si>
  <si>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</si>
  <si>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</si>
  <si>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</si>
  <si>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</si>
  <si>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</si>
  <si>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</si>
  <si>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</si>
  <si>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</si>
  <si>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</si>
  <si>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</si>
  <si>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</si>
  <si>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</si>
  <si>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</si>
  <si>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</si>
  <si>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</si>
  <si>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</si>
  <si>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</si>
  <si>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</si>
  <si>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</si>
  <si>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</si>
  <si>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</si>
  <si>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</si>
  <si>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</si>
  <si>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</si>
  <si>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</si>
  <si>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</si>
  <si>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</si>
  <si>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</si>
  <si>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</si>
  <si>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</si>
  <si>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</si>
  <si>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</si>
  <si>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</si>
  <si>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</si>
  <si>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</si>
  <si>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</si>
  <si>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</si>
  <si>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</si>
  <si>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</si>
  <si>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</si>
  <si>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</si>
  <si>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</si>
  <si>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</si>
  <si>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</si>
  <si>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</si>
  <si>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</si>
  <si>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</si>
  <si>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</si>
  <si>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</si>
  <si>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</si>
  <si>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</si>
  <si>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</si>
  <si>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</si>
  <si>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</si>
  <si>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</si>
  <si>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</si>
  <si>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</si>
  <si>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</si>
  <si>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</si>
  <si>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</si>
  <si>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</si>
  <si>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</si>
  <si>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</si>
  <si>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</si>
  <si>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</si>
  <si>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</si>
  <si>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</si>
  <si>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</si>
  <si>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</si>
  <si>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</si>
  <si>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</si>
  <si>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</si>
  <si>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</si>
  <si>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</si>
  <si>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</si>
  <si>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</si>
  <si>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</si>
  <si>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</si>
  <si>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</si>
  <si>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</si>
  <si>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</si>
  <si>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</si>
  <si>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</si>
  <si>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</si>
  <si>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</si>
  <si>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</si>
  <si>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</si>
  <si>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</si>
  <si>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</si>
  <si>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</si>
  <si>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</si>
  <si>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</si>
  <si>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</si>
  <si>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</si>
  <si>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</si>
  <si>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</si>
  <si>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</si>
  <si>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</si>
  <si>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</si>
  <si>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</si>
  <si>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</si>
  <si>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</si>
  <si>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</si>
  <si>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</si>
  <si>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</si>
  <si>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</si>
  <si>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</si>
  <si>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</si>
  <si>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</si>
  <si>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</si>
  <si>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</si>
  <si>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</si>
  <si>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</si>
  <si>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</si>
  <si>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</si>
  <si>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</si>
  <si>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</si>
  <si>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</si>
  <si>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</si>
  <si>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</si>
  <si>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</si>
  <si>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</si>
  <si>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</si>
  <si>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</si>
  <si>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</si>
  <si>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</si>
  <si>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</si>
  <si>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</si>
  <si>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</si>
  <si>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</si>
  <si>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</si>
  <si>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</si>
  <si>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</si>
  <si>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</si>
  <si>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</si>
  <si>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</si>
  <si>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</si>
  <si>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</si>
  <si>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</si>
  <si>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</si>
  <si>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</si>
  <si>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</si>
  <si>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</si>
  <si>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</si>
  <si>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</si>
  <si>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</si>
  <si>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</si>
  <si>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</si>
  <si>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</si>
  <si>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</si>
  <si>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</si>
  <si>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</si>
  <si>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</si>
  <si>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</si>
  <si>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</si>
  <si>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</si>
  <si>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</si>
  <si>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</si>
  <si>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</si>
  <si>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</si>
  <si>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</si>
  <si>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</si>
  <si>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</si>
  <si>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</si>
  <si>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</si>
  <si>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</si>
  <si>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</si>
  <si>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</si>
  <si>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</si>
  <si>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</si>
  <si>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</si>
  <si>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</si>
  <si>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</si>
  <si>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</si>
  <si>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</si>
  <si>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</si>
  <si>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</si>
  <si>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</si>
  <si>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</si>
  <si>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</si>
  <si>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</si>
  <si>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</si>
  <si>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</si>
  <si>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</si>
  <si>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</si>
  <si>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</si>
  <si>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</si>
  <si>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</si>
  <si>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</si>
  <si>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</si>
  <si>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</si>
  <si>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</si>
  <si>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</si>
  <si>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</si>
  <si>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</si>
  <si>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</si>
  <si>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</si>
  <si>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</si>
  <si>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</si>
  <si>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</si>
  <si>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</si>
  <si>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</si>
  <si>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</si>
  <si>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</si>
  <si>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</si>
  <si>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</si>
  <si>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</si>
  <si>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</si>
  <si>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</si>
  <si>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</si>
  <si>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</si>
  <si>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</si>
  <si>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</si>
  <si>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</si>
  <si>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</si>
  <si>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</si>
  <si>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</si>
  <si>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</si>
  <si>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</si>
  <si>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</si>
  <si>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</si>
  <si>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</si>
  <si>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</si>
  <si>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</si>
  <si>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</si>
  <si>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</si>
  <si>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</si>
  <si>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</si>
  <si>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</si>
  <si>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</si>
  <si>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</si>
  <si>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</si>
  <si>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</si>
  <si>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</si>
  <si>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</si>
  <si>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</si>
  <si>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</si>
  <si>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</si>
  <si>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</si>
  <si>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</si>
  <si>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</si>
  <si>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</si>
  <si>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</si>
  <si>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</si>
  <si>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</si>
  <si>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</si>
  <si>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</si>
  <si>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</si>
  <si>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</si>
  <si>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</si>
  <si>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</si>
  <si>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</si>
  <si>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</si>
  <si>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</si>
  <si>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</si>
  <si>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</si>
  <si>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</si>
  <si>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</si>
  <si>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</si>
  <si>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</si>
  <si>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</si>
  <si>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</si>
  <si>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</si>
  <si>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</si>
  <si>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</si>
  <si>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</si>
  <si>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</si>
  <si>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</si>
  <si>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</si>
  <si>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</si>
  <si>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</si>
  <si>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</si>
  <si>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</si>
  <si>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</si>
  <si>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</si>
  <si>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</si>
  <si>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</si>
  <si>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</si>
  <si>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</si>
  <si>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</si>
  <si>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</si>
  <si>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</si>
  <si>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</si>
  <si>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10.01.2019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</si>
</sst>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53795</v>
      </c>
      <c r="K51" s="1097"/>
      <c r="L51" s="1104">
        <f>+IF($P$2=33,$Q51,0)</f>
        <v>0</v>
      </c>
      <c r="M51" s="1097"/>
      <c r="N51" s="1134">
        <f>+ROUND(+G51+J51+L51,0)</f>
        <v>53795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53795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48288</v>
      </c>
      <c r="K54" s="1097"/>
      <c r="L54" s="1122">
        <f>+IF($P$2=33,$Q54,0)</f>
        <v>0</v>
      </c>
      <c r="M54" s="1097"/>
      <c r="N54" s="1123">
        <f>+ROUND(+G54+J54+L54,0)</f>
        <v>48288</v>
      </c>
      <c r="O54" s="1099"/>
      <c r="P54" s="1121">
        <f>+ROUND(OTCHET!E188+OTCHET!E191,0)</f>
        <v>0</v>
      </c>
      <c r="Q54" s="1122">
        <f>+ROUND(OTCHET!L188+OTCHET!L191,0)</f>
        <v>48288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9389</v>
      </c>
      <c r="K55" s="1097"/>
      <c r="L55" s="1122">
        <f>+IF($P$2=33,$Q55,0)</f>
        <v>0</v>
      </c>
      <c r="M55" s="1097"/>
      <c r="N55" s="1123">
        <f>+ROUND(+G55+J55+L55,0)</f>
        <v>9389</v>
      </c>
      <c r="O55" s="1099"/>
      <c r="P55" s="1121">
        <f>+ROUND(OTCHET!E197+OTCHET!E205,0)</f>
        <v>0</v>
      </c>
      <c r="Q55" s="1122">
        <f>+ROUND(OTCHET!L197+OTCHET!L205,0)</f>
        <v>9389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111472</v>
      </c>
      <c r="K56" s="1097"/>
      <c r="L56" s="1210">
        <f>+ROUND(+SUM(L51:L55),0)</f>
        <v>0</v>
      </c>
      <c r="M56" s="1097"/>
      <c r="N56" s="1211">
        <f>+ROUND(+SUM(N51:N55),0)</f>
        <v>111472</v>
      </c>
      <c r="O56" s="1099"/>
      <c r="P56" s="1209">
        <f>+ROUND(+SUM(P51:P55),0)</f>
        <v>0</v>
      </c>
      <c r="Q56" s="1210">
        <f>+ROUND(+SUM(Q51:Q55),0)</f>
        <v>111472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155416</v>
      </c>
      <c r="K59" s="1097"/>
      <c r="L59" s="1122">
        <f>+IF($P$2=33,$Q59,0)</f>
        <v>0</v>
      </c>
      <c r="M59" s="1097"/>
      <c r="N59" s="1123">
        <f>+ROUND(+G59+J59+L59,0)</f>
        <v>155416</v>
      </c>
      <c r="O59" s="1099"/>
      <c r="P59" s="1121">
        <f>+ROUND(+OTCHET!E277+OTCHET!E278,0)</f>
        <v>0</v>
      </c>
      <c r="Q59" s="1122">
        <f>+ROUND(+OTCHET!L277+OTCHET!L278,0)</f>
        <v>155416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155416</v>
      </c>
      <c r="K63" s="1097"/>
      <c r="L63" s="1210">
        <f>+ROUND(+SUM(L58:L61),0)</f>
        <v>0</v>
      </c>
      <c r="M63" s="1097"/>
      <c r="N63" s="1211">
        <f>+ROUND(+SUM(N58:N61),0)</f>
        <v>155416</v>
      </c>
      <c r="O63" s="1099"/>
      <c r="P63" s="1209">
        <f>+ROUND(+SUM(P58:P61),0)</f>
        <v>0</v>
      </c>
      <c r="Q63" s="1210">
        <f>+ROUND(+SUM(Q58:Q61),0)</f>
        <v>155416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-118305</v>
      </c>
      <c r="K73" s="1097"/>
      <c r="L73" s="1104">
        <f>+IF($P$2=33,$Q73,0)</f>
        <v>0</v>
      </c>
      <c r="M73" s="1097"/>
      <c r="N73" s="1134">
        <f>+ROUND(+G73+J73+L73,0)</f>
        <v>-118305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-118305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-118305</v>
      </c>
      <c r="K75" s="1097"/>
      <c r="L75" s="1210">
        <f>+ROUND(+SUM(L73:L74),0)</f>
        <v>0</v>
      </c>
      <c r="M75" s="1097"/>
      <c r="N75" s="1211">
        <f>+ROUND(+SUM(N73:N74),0)</f>
        <v>-118305</v>
      </c>
      <c r="O75" s="1099"/>
      <c r="P75" s="1209">
        <f>+ROUND(+SUM(P73:P74),0)</f>
        <v>0</v>
      </c>
      <c r="Q75" s="1210">
        <f>+ROUND(+SUM(Q73:Q74),0)</f>
        <v>-118305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148583</v>
      </c>
      <c r="K77" s="1097"/>
      <c r="L77" s="1235">
        <f>+ROUND(L56+L63+L67+L71+L75,0)</f>
        <v>0</v>
      </c>
      <c r="M77" s="1097"/>
      <c r="N77" s="1236">
        <f>+ROUND(N56+N63+N67+N71+N75,0)</f>
        <v>148583</v>
      </c>
      <c r="O77" s="1099"/>
      <c r="P77" s="1233">
        <f>+ROUND(P56+P63+P67+P71+P75,0)</f>
        <v>0</v>
      </c>
      <c r="Q77" s="1234">
        <f>+ROUND(Q56+Q63+Q67+Q71+Q75,0)</f>
        <v>148583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12062</v>
      </c>
      <c r="K83" s="1097"/>
      <c r="L83" s="1257">
        <f>+ROUND(L48,0)-ROUND(L77,0)+ROUND(L81,0)</f>
        <v>0</v>
      </c>
      <c r="M83" s="1097"/>
      <c r="N83" s="1258">
        <f>+ROUND(N48,0)-ROUND(N77,0)+ROUND(N81,0)</f>
        <v>12062</v>
      </c>
      <c r="O83" s="1259"/>
      <c r="P83" s="1256">
        <f>+ROUND(P48,0)-ROUND(P77,0)+ROUND(P81,0)</f>
        <v>0</v>
      </c>
      <c r="Q83" s="1257">
        <f>+ROUND(Q48,0)-ROUND(Q77,0)+ROUND(Q81,0)</f>
        <v>12062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-12062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-12062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-12062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-12062</v>
      </c>
      <c r="K123" s="1097"/>
      <c r="L123" s="1122">
        <f>+IF($P$2=33,$Q123,0)</f>
        <v>0</v>
      </c>
      <c r="M123" s="1097"/>
      <c r="N123" s="1123">
        <f>+ROUND(+G123+J123+L123,0)</f>
        <v>-12062</v>
      </c>
      <c r="O123" s="1099"/>
      <c r="P123" s="1121">
        <f>+ROUND(OTCHET!E526,0)</f>
        <v>0</v>
      </c>
      <c r="Q123" s="1122">
        <f>+ROUND(OTCHET!L526,0)</f>
        <v>-12062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-12062</v>
      </c>
      <c r="K127" s="1097"/>
      <c r="L127" s="1244">
        <f>+ROUND(+SUM(L122:L126),0)</f>
        <v>0</v>
      </c>
      <c r="M127" s="1097"/>
      <c r="N127" s="1245">
        <f>+ROUND(+SUM(N122:N126),0)</f>
        <v>-12062</v>
      </c>
      <c r="O127" s="1099"/>
      <c r="P127" s="1243">
        <f>+ROUND(+SUM(P122:P126),0)</f>
        <v>0</v>
      </c>
      <c r="Q127" s="1244">
        <f>+ROUND(+SUM(Q122:Q126),0)</f>
        <v>-12062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10.01.2019 г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148583</v>
      </c>
      <c r="G38" s="850">
        <f>G39+G43+G44+G46+SUM(G48:G52)+G55</f>
        <v>0</v>
      </c>
      <c r="H38" s="851">
        <f>H39+H43+H44+H46+SUM(H48:H52)+H55</f>
        <v>148583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57677</v>
      </c>
      <c r="G39" s="813">
        <f>SUM(G40:G42)</f>
        <v>0</v>
      </c>
      <c r="H39" s="814">
        <f>SUM(H40:H42)</f>
        <v>57677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48288</v>
      </c>
      <c r="G41" s="1669">
        <f>OTCHET!I191</f>
        <v>0</v>
      </c>
      <c r="H41" s="1670">
        <f>OTCHET!J191</f>
        <v>48288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9389</v>
      </c>
      <c r="G42" s="1674">
        <f>+OTCHET!I197+OTCHET!I205</f>
        <v>0</v>
      </c>
      <c r="H42" s="1675">
        <f>+OTCHET!J197+OTCHET!J205</f>
        <v>9389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53795</v>
      </c>
      <c r="G43" s="818">
        <f>+OTCHET!I206+OTCHET!I224+OTCHET!I273</f>
        <v>0</v>
      </c>
      <c r="H43" s="819">
        <f>+OTCHET!J206+OTCHET!J224+OTCHET!J273</f>
        <v>53795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-118305</v>
      </c>
      <c r="G48" s="818">
        <f>+OTCHET!I267+OTCHET!I271+OTCHET!I272</f>
        <v>0</v>
      </c>
      <c r="H48" s="819">
        <f>+OTCHET!J267+OTCHET!J271+OTCHET!J272</f>
        <v>-118305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155416</v>
      </c>
      <c r="G49" s="818">
        <f>OTCHET!I277+OTCHET!I278+OTCHET!I286+OTCHET!I289</f>
        <v>0</v>
      </c>
      <c r="H49" s="819">
        <f>OTCHET!J277+OTCHET!J278+OTCHET!J286+OTCHET!J289</f>
        <v>155416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12062</v>
      </c>
      <c r="G64" s="930">
        <f>+G22-G38+G56-G63</f>
        <v>0</v>
      </c>
      <c r="H64" s="931">
        <f>+H22-H38+H56-H63</f>
        <v>12062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-12062</v>
      </c>
      <c r="G66" s="940">
        <f>SUM(+G68+G76+G77+G84+G85+G86+G89+G90+G91+G92+G93+G94+G95)</f>
        <v>0</v>
      </c>
      <c r="H66" s="941">
        <f>SUM(+H68+H76+H77+H84+H85+H86+H89+H90+H91+H92+H93+H94+H95)</f>
        <v>-12062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-12062</v>
      </c>
      <c r="G86" s="908">
        <f>+G87+G88</f>
        <v>0</v>
      </c>
      <c r="H86" s="909">
        <f>+H87+H88</f>
        <v>-12062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-12062</v>
      </c>
      <c r="G88" s="966">
        <f>+OTCHET!I523+OTCHET!I526+OTCHET!I546</f>
        <v>0</v>
      </c>
      <c r="H88" s="967">
        <f>+OTCHET!J523+OTCHET!J526+OTCHET!J546</f>
        <v>-12062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75" zoomScaleNormal="75" zoomScalePageLayoutView="0" workbookViewId="0" topLeftCell="B715">
      <selection activeCell="J652" sqref="J65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43465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48288</v>
      </c>
      <c r="K191" s="277">
        <f t="shared" si="45"/>
        <v>0</v>
      </c>
      <c r="L191" s="274">
        <f t="shared" si="45"/>
        <v>48288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1376</v>
      </c>
      <c r="K195" s="299">
        <f t="shared" si="46"/>
        <v>0</v>
      </c>
      <c r="L195" s="296">
        <f t="shared" si="46"/>
        <v>1376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44415</v>
      </c>
      <c r="K196" s="291">
        <f t="shared" si="46"/>
        <v>0</v>
      </c>
      <c r="L196" s="288">
        <f t="shared" si="46"/>
        <v>44415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9389</v>
      </c>
      <c r="K197" s="277">
        <f t="shared" si="47"/>
        <v>0</v>
      </c>
      <c r="L197" s="274">
        <f t="shared" si="47"/>
        <v>9389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5595</v>
      </c>
      <c r="K198" s="285">
        <f t="shared" si="48"/>
        <v>0</v>
      </c>
      <c r="L198" s="282">
        <f t="shared" si="48"/>
        <v>5595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2424</v>
      </c>
      <c r="K201" s="299">
        <f t="shared" si="48"/>
        <v>0</v>
      </c>
      <c r="L201" s="296">
        <f t="shared" si="48"/>
        <v>2424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1370</v>
      </c>
      <c r="K202" s="299">
        <f t="shared" si="48"/>
        <v>0</v>
      </c>
      <c r="L202" s="296">
        <f t="shared" si="48"/>
        <v>1370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53795</v>
      </c>
      <c r="K206" s="277">
        <f t="shared" si="49"/>
        <v>0</v>
      </c>
      <c r="L206" s="311">
        <f t="shared" si="49"/>
        <v>53795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8412</v>
      </c>
      <c r="K211" s="299">
        <f t="shared" si="50"/>
        <v>0</v>
      </c>
      <c r="L211" s="296">
        <f t="shared" si="50"/>
        <v>8412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44131</v>
      </c>
      <c r="K213" s="324">
        <f t="shared" si="50"/>
        <v>0</v>
      </c>
      <c r="L213" s="321">
        <f t="shared" si="50"/>
        <v>44131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-118305</v>
      </c>
      <c r="K272" s="277">
        <f t="shared" si="68"/>
        <v>0</v>
      </c>
      <c r="L272" s="311">
        <f t="shared" si="68"/>
        <v>-118305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146028</v>
      </c>
      <c r="K278" s="277">
        <f t="shared" si="70"/>
        <v>0</v>
      </c>
      <c r="L278" s="311">
        <f t="shared" si="70"/>
        <v>146028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137886</v>
      </c>
      <c r="K282" s="299">
        <f t="shared" si="71"/>
        <v>0</v>
      </c>
      <c r="L282" s="296">
        <f t="shared" si="71"/>
        <v>137886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6845</v>
      </c>
      <c r="K285" s="291">
        <f t="shared" si="71"/>
        <v>0</v>
      </c>
      <c r="L285" s="288">
        <f t="shared" si="71"/>
        <v>6845</v>
      </c>
      <c r="M285" s="7">
        <f t="shared" si="63"/>
        <v>1</v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148583</v>
      </c>
      <c r="K303" s="399">
        <f t="shared" si="79"/>
        <v>0</v>
      </c>
      <c r="L303" s="396">
        <f t="shared" si="79"/>
        <v>148583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12062</v>
      </c>
      <c r="K447" s="550">
        <f t="shared" si="103"/>
        <v>0</v>
      </c>
      <c r="L447" s="551">
        <f t="shared" si="103"/>
        <v>12062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-12062</v>
      </c>
      <c r="K448" s="557">
        <f t="shared" si="104"/>
        <v>0</v>
      </c>
      <c r="L448" s="558">
        <f>+L599</f>
        <v>-12062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-12062</v>
      </c>
      <c r="K526" s="583">
        <f t="shared" si="125"/>
        <v>0</v>
      </c>
      <c r="L526" s="580">
        <f t="shared" si="125"/>
        <v>-12062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-12062</v>
      </c>
      <c r="K529" s="587">
        <v>0</v>
      </c>
      <c r="L529" s="1389">
        <f t="shared" si="121"/>
        <v>-12062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-12062</v>
      </c>
      <c r="K599" s="668">
        <f t="shared" si="138"/>
        <v>0</v>
      </c>
      <c r="L599" s="664">
        <f t="shared" si="138"/>
        <v>-12062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2080</v>
      </c>
      <c r="C607" s="1857"/>
      <c r="D607" s="677" t="s">
        <v>892</v>
      </c>
      <c r="E607" s="678" t="s">
        <v>2078</v>
      </c>
      <c r="F607" s="679">
        <v>878101238</v>
      </c>
      <c r="G607" s="680" t="s">
        <v>893</v>
      </c>
      <c r="H607" s="1858" t="s">
        <v>2079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40723</v>
      </c>
      <c r="K633" s="277">
        <f t="shared" si="141"/>
        <v>0</v>
      </c>
      <c r="L633" s="274">
        <f t="shared" si="141"/>
        <v>40723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>
        <v>1052</v>
      </c>
      <c r="K637" s="1422"/>
      <c r="L637" s="296">
        <f>I637+J637+K637</f>
        <v>1052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37174</v>
      </c>
      <c r="K638" s="1423"/>
      <c r="L638" s="288">
        <f>I638+J638+K638</f>
        <v>37174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7544</v>
      </c>
      <c r="K639" s="277">
        <f t="shared" si="142"/>
        <v>0</v>
      </c>
      <c r="L639" s="274">
        <f t="shared" si="142"/>
        <v>7544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4478</v>
      </c>
      <c r="K640" s="1420"/>
      <c r="L640" s="282">
        <f aca="true" t="shared" si="144" ref="L640:L647">I640+J640+K640</f>
        <v>4478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1971</v>
      </c>
      <c r="K643" s="1422"/>
      <c r="L643" s="296">
        <f t="shared" si="144"/>
        <v>1971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1095</v>
      </c>
      <c r="K644" s="1422"/>
      <c r="L644" s="296">
        <f t="shared" si="144"/>
        <v>1095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32908</v>
      </c>
      <c r="K648" s="277">
        <f t="shared" si="145"/>
        <v>0</v>
      </c>
      <c r="L648" s="311">
        <f t="shared" si="145"/>
        <v>32908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4920</v>
      </c>
      <c r="K653" s="1422"/>
      <c r="L653" s="296">
        <f t="shared" si="147"/>
        <v>4920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27585</v>
      </c>
      <c r="K655" s="1430"/>
      <c r="L655" s="321">
        <f t="shared" si="147"/>
        <v>27585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>
        <v>-118305</v>
      </c>
      <c r="K714" s="1426"/>
      <c r="L714" s="311">
        <f t="shared" si="165"/>
        <v>-118305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146028</v>
      </c>
      <c r="K720" s="277">
        <f t="shared" si="167"/>
        <v>0</v>
      </c>
      <c r="L720" s="311">
        <f t="shared" si="167"/>
        <v>146028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>
        <v>137886</v>
      </c>
      <c r="K724" s="1422"/>
      <c r="L724" s="296">
        <f t="shared" si="169"/>
        <v>137886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>
        <v>6845</v>
      </c>
      <c r="K727" s="1423"/>
      <c r="L727" s="288">
        <f t="shared" si="169"/>
        <v>6845</v>
      </c>
      <c r="M727" s="12">
        <f t="shared" si="159"/>
        <v>1</v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108898</v>
      </c>
      <c r="K746" s="399">
        <f t="shared" si="173"/>
        <v>0</v>
      </c>
      <c r="L746" s="396">
        <f t="shared" si="173"/>
        <v>108898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43465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2019-01-10T07:28:57Z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