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<sst xmlns="http://schemas.openxmlformats.org/spreadsheetml/2006/main" count="2851" uniqueCount="2069">
  <si>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</si>
  <si>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</si>
  <si>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</si>
  <si>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</si>
  <si>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</si>
  <si>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</si>
  <si>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</si>
  <si>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</si>
  <si>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</si>
  <si>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</si>
  <si>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</si>
  <si>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</si>
  <si>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</si>
  <si>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</si>
  <si>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</si>
  <si>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</si>
  <si>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</si>
  <si>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</si>
  <si>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</si>
  <si>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</si>
  <si>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</si>
  <si>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</si>
  <si>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</si>
  <si>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</si>
  <si>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</si>
  <si>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</si>
  <si>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</si>
  <si>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</si>
  <si>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</si>
  <si>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</si>
  <si>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</si>
  <si>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</si>
  <si>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</si>
  <si>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</si>
  <si>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</si>
  <si>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</si>
  <si>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</si>
  <si>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</si>
  <si>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</si>
  <si>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</si>
  <si>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</si>
  <si>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</si>
  <si>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</si>
  <si>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</si>
  <si>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</si>
  <si>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</si>
  <si>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</si>
  <si>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</si>
  <si>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</si>
  <si>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</si>
  <si>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</si>
  <si>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</si>
  <si>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</si>
  <si>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</si>
  <si>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</si>
  <si>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</si>
  <si>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</si>
  <si>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</si>
  <si>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</si>
  <si>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</si>
  <si>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</si>
  <si>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</si>
  <si>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</si>
  <si>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</si>
  <si>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</si>
  <si>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</si>
  <si>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</si>
  <si>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</si>
  <si>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</si>
  <si>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</si>
  <si>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</si>
  <si>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</si>
  <si>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</si>
  <si>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</si>
  <si>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</si>
  <si>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</si>
  <si>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</si>
  <si>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</si>
  <si>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</si>
  <si>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</si>
  <si>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</si>
  <si>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</si>
  <si>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</si>
  <si>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</si>
  <si>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</si>
  <si>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</si>
  <si>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</si>
  <si>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</si>
  <si>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</si>
  <si>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</si>
  <si>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</si>
  <si>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</si>
  <si>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</si>
  <si>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</si>
  <si>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</si>
  <si>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</si>
  <si>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</si>
  <si>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</si>
  <si>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</si>
  <si>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</si>
  <si>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</si>
  <si>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</si>
  <si>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</si>
  <si>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</si>
  <si>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</si>
  <si>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</si>
  <si>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</si>
  <si>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</si>
  <si>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</si>
  <si>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</si>
  <si>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</si>
  <si>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</si>
  <si>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</si>
  <si>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</si>
  <si>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</si>
  <si>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</si>
  <si>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</si>
  <si>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</si>
  <si>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</si>
  <si>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</si>
  <si>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</si>
  <si>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</si>
  <si>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</si>
  <si>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</si>
  <si>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</si>
  <si>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</si>
  <si>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</si>
  <si>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</si>
  <si>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</si>
  <si>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</si>
  <si>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</si>
  <si>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</si>
  <si>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</si>
  <si>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</si>
  <si>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</si>
  <si>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</si>
  <si>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</si>
  <si>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</si>
  <si>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</si>
  <si>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</si>
  <si>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</si>
  <si>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</si>
  <si>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</si>
  <si>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</si>
  <si>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</si>
  <si>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</si>
  <si>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</si>
  <si>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</si>
  <si>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</si>
  <si>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</si>
  <si>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</si>
  <si>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</si>
  <si>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</si>
  <si>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</si>
  <si>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</si>
  <si>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</si>
  <si>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</si>
  <si>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</si>
  <si>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</si>
  <si>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</si>
  <si>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</si>
  <si>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</si>
  <si>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</si>
  <si>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</si>
  <si>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</si>
  <si>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</si>
  <si>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</si>
  <si>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</si>
  <si>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</si>
  <si>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</si>
  <si>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</si>
  <si>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</si>
  <si>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</si>
  <si>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</si>
  <si>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</si>
  <si>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</si>
  <si>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</si>
  <si>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</si>
  <si>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</si>
  <si>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</si>
  <si>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</si>
  <si>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</si>
  <si>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</si>
  <si>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</si>
  <si>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</si>
  <si>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</si>
  <si>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</si>
  <si>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</si>
  <si>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</si>
  <si>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</si>
  <si>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</si>
  <si>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</si>
  <si>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</si>
  <si>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</si>
  <si>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</si>
  <si>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</si>
  <si>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</si>
  <si>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</si>
  <si>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</si>
  <si>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</si>
  <si>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</si>
  <si>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</si>
  <si>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</si>
  <si>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</si>
  <si>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</si>
  <si>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</si>
  <si>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</si>
  <si>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</si>
  <si>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</si>
  <si>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</si>
  <si>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</si>
  <si>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</si>
  <si>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</si>
  <si>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</si>
  <si>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</si>
  <si>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</si>
  <si>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</si>
  <si>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</si>
  <si>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</si>
  <si>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</si>
  <si>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</si>
  <si>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</si>
  <si>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</si>
  <si>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</si>
  <si>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</si>
  <si>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</si>
  <si>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</si>
  <si>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</si>
  <si>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</si>
  <si>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</si>
  <si>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</si>
  <si>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</si>
  <si>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</si>
  <si>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</si>
  <si>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</si>
  <si>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</si>
  <si>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</si>
  <si>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</si>
  <si>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</si>
  <si>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</si>
  <si>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</si>
  <si>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</si>
  <si>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</si>
  <si>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</si>
  <si>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</si>
  <si>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</si>
  <si>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</si>
  <si>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</si>
  <si>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</si>
  <si>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</si>
  <si>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</si>
  <si>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</si>
  <si>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</si>
  <si>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</si>
  <si>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</si>
  <si>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</si>
  <si>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</si>
  <si>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</si>
  <si>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</si>
  <si>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</si>
  <si>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</si>
  <si>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</si>
  <si>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</si>
  <si>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</si>
  <si>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</si>
  <si>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</si>
  <si>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</si>
  <si>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</si>
  <si>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</si>
  <si>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</si>
  <si>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</si>
  <si>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</si>
  <si>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</si>
  <si>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</si>
  <si>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</si>
  <si>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</si>
  <si>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</si>
  <si>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</si>
  <si>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</si>
  <si>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</si>
  <si>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</si>
  <si>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</si>
  <si>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</si>
  <si>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</si>
  <si>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</si>
  <si>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</si>
  <si>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</si>
  <si>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</si>
  <si>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</si>
  <si>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</si>
  <si>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</si>
  <si>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</si>
  <si>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</si>
  <si>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</si>
  <si>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</si>
  <si>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</si>
  <si>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</si>
  <si>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</si>
  <si>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</si>
  <si>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</si>
  <si>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</si>
  <si>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</si>
  <si>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</si>
  <si>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</si>
  <si>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</si>
  <si>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</si>
  <si>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</si>
  <si>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</si>
  <si>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</si>
  <si>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</si>
  <si>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</si>
  <si>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</si>
  <si>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</si>
  <si>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</si>
  <si>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</si>
  <si>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</si>
  <si>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</si>
  <si>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</si>
  <si>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</si>
  <si>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</si>
  <si>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</si>
  <si>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</si>
  <si>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</si>
  <si>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</si>
  <si>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</si>
  <si>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</si>
  <si>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</si>
  <si>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</si>
  <si>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</si>
  <si>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</si>
  <si>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</si>
  <si>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</si>
  <si>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</si>
  <si>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</si>
  <si>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</si>
  <si>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</si>
  <si>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</si>
  <si>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</si>
  <si>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</si>
  <si>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</si>
  <si>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</si>
  <si>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</si>
  <si>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</si>
  <si>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</si>
  <si>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</si>
  <si>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</si>
  <si>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</si>
  <si>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</si>
  <si>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</si>
  <si>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</si>
  <si>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</si>
  <si>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</si>
  <si>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</si>
  <si>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</si>
  <si>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</si>
  <si>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</si>
  <si>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</si>
  <si>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</si>
  <si>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</si>
  <si>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</si>
  <si>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</si>
  <si>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</si>
  <si>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</si>
  <si>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</si>
  <si>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</si>
  <si>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</si>
  <si>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</si>
  <si>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</si>
  <si>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</si>
  <si>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</si>
  <si>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</si>
  <si>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</si>
  <si>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</si>
  <si>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</si>
  <si>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</si>
  <si>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</si>
  <si>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</si>
  <si>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</si>
  <si>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</si>
  <si>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</si>
  <si>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</si>
  <si>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</si>
  <si>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</si>
  <si>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</si>
  <si>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</si>
  <si>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</si>
  <si>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</si>
  <si>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</si>
  <si>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</si>
  <si>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</si>
  <si>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</si>
  <si>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</si>
  <si>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</si>
  <si>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</si>
  <si>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</si>
  <si>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</si>
  <si>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</si>
  <si>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</si>
  <si>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</si>
  <si>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</si>
  <si>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</si>
  <si>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</si>
  <si>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</si>
  <si>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</si>
  <si>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</si>
  <si>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</si>
  <si>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</si>
  <si>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</si>
  <si>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</si>
  <si>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</si>
  <si>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</si>
  <si>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</si>
  <si>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</si>
  <si>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</si>
  <si>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</si>
  <si>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</si>
  <si>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</si>
  <si>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</si>
  <si>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</si>
  <si>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</si>
  <si>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</si>
  <si>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</si>
  <si>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</si>
  <si>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</si>
  <si>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</si>
  <si>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</si>
  <si>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</si>
  <si>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</si>
  <si>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</si>
  <si>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</si>
  <si>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</si>
  <si>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</si>
  <si>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</si>
  <si>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</si>
  <si>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</si>
  <si>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</si>
  <si>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</si>
  <si>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</si>
  <si>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</si>
  <si>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</si>
  <si>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</si>
  <si>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</si>
  <si>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</si>
  <si>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</si>
  <si>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</si>
  <si>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</si>
  <si>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</si>
  <si>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</si>
  <si>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</si>
  <si>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</si>
  <si>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</si>
  <si>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</si>
  <si>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</si>
  <si>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</si>
  <si>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</si>
  <si>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</si>
  <si>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</si>
  <si>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</si>
  <si>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</si>
  <si>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</si>
  <si>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</si>
  <si>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</si>
  <si>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</si>
  <si>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</si>
  <si>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</si>
  <si>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</si>
  <si>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</si>
  <si>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</si>
  <si>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</si>
  <si>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</si>
  <si>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</si>
  <si>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</si>
  <si>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</si>
  <si>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</si>
  <si>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</si>
  <si>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</si>
  <si>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</si>
  <si>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</si>
  <si>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</si>
  <si>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</si>
  <si>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</si>
  <si>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</si>
  <si>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</si>
  <si>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</si>
  <si>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</si>
  <si>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</si>
  <si>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</si>
  <si>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</si>
  <si>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</si>
  <si>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</si>
  <si>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</si>
  <si>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</si>
  <si>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</si>
  <si>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</si>
  <si>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</si>
  <si>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</si>
  <si>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</si>
  <si>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</si>
  <si>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</si>
  <si>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</si>
  <si>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</si>
  <si>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</si>
  <si>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</si>
  <si>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</si>
  <si>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</si>
  <si>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</si>
  <si>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</si>
  <si>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</si>
  <si>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</si>
  <si>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</si>
  <si>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</si>
  <si>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</si>
  <si>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</si>
  <si>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</si>
  <si>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</si>
  <si>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</si>
  <si>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</si>
  <si>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</si>
  <si>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</si>
  <si>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</si>
  <si>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</si>
  <si>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</si>
  <si>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</si>
  <si>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</si>
  <si>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</si>
  <si>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</si>
  <si>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</si>
  <si>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</si>
  <si>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</si>
  <si>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</si>
  <si>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</si>
  <si>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</si>
  <si>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</si>
  <si>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</si>
  <si>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</si>
  <si>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</si>
  <si>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</si>
  <si>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</si>
  <si>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</si>
  <si>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</si>
  <si>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</si>
  <si>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</si>
  <si>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</si>
  <si>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</si>
  <si>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</si>
  <si>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</si>
  <si>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</si>
  <si>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</si>
  <si>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</si>
  <si>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</si>
  <si>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</si>
  <si>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</si>
  <si>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</si>
  <si>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</si>
  <si>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</si>
  <si>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</si>
  <si>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</si>
  <si>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</si>
  <si>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</si>
  <si>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</si>
  <si>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</si>
  <si>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</si>
  <si>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</si>
  <si>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</si>
  <si>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</si>
  <si>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</si>
  <si>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</si>
  <si>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</si>
  <si>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</si>
  <si>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</si>
  <si>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</si>
  <si>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</si>
  <si>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</si>
  <si>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</si>
  <si>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</si>
  <si>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</si>
  <si>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</si>
  <si>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</si>
  <si>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</si>
  <si>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</si>
  <si>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</si>
  <si>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</si>
  <si>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</si>
  <si>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</si>
  <si>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</si>
  <si>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</si>
  <si>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</si>
  <si>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</si>
  <si>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</si>
  <si>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</si>
  <si>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</si>
  <si>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</si>
  <si>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</si>
  <si>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</si>
  <si>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</si>
  <si>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</si>
  <si>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</si>
  <si>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</si>
  <si>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</si>
  <si>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</si>
  <si>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</si>
  <si>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</si>
  <si>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</si>
  <si>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</si>
  <si>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</si>
  <si>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</si>
  <si>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</si>
  <si>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</si>
  <si>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</si>
  <si>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</si>
  <si>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</si>
  <si>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</si>
  <si>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</si>
  <si>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</si>
  <si>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</si>
  <si>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</si>
  <si>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</si>
  <si>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</si>
  <si>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</si>
  <si>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</si>
  <si>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</si>
  <si>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</si>
  <si>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</si>
  <si>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</si>
  <si>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</si>
  <si>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</si>
  <si>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</si>
  <si>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</si>
  <si>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</si>
  <si>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</si>
  <si>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</si>
  <si>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</si>
  <si>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</si>
  <si>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</si>
  <si>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</si>
  <si>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</si>
  <si>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</si>
  <si>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</si>
  <si>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</si>
  <si>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</si>
  <si>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</si>
  <si>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</si>
  <si>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</si>
  <si>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</si>
  <si>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</si>
  <si>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</si>
  <si>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</si>
  <si>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</si>
  <si>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</si>
  <si>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</si>
  <si>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</si>
  <si>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</si>
  <si>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</si>
  <si>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</si>
  <si>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</si>
  <si>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</si>
  <si>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</si>
  <si>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</si>
  <si>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</si>
  <si>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</si>
  <si>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</si>
  <si>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</si>
  <si>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</si>
  <si>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</si>
  <si>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</si>
  <si>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</si>
  <si>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</si>
  <si>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</si>
  <si>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</si>
  <si>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</si>
  <si>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</si>
  <si>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</si>
  <si>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</si>
  <si>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</si>
  <si>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</si>
  <si>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</si>
  <si>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</si>
  <si>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</si>
  <si>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</si>
  <si>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</si>
  <si>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</si>
  <si>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</si>
  <si>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</si>
  <si>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</si>
  <si>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</si>
  <si>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</si>
  <si>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</si>
  <si>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</si>
  <si>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</si>
  <si>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</si>
  <si>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</si>
  <si>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</si>
  <si>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</si>
  <si>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</si>
  <si>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</si>
  <si>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</si>
  <si>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</si>
  <si>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</si>
  <si>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</si>
  <si>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</si>
  <si>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</si>
  <si>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</si>
  <si>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</si>
  <si>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</si>
  <si>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</si>
  <si>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</si>
  <si>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</si>
  <si>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</si>
  <si>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</si>
  <si>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</si>
  <si>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</si>
  <si>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</si>
  <si>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</si>
  <si>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</si>
  <si>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</si>
  <si>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</si>
  <si>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</si>
  <si>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</si>
  <si>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</si>
  <si>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</si>
  <si>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</si>
  <si>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</si>
  <si>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</si>
  <si>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</si>
  <si>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</si>
  <si>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</si>
  <si>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</si>
  <si>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</si>
  <si>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</si>
  <si>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</si>
  <si>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</si>
  <si>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</si>
  <si>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</si>
  <si>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</si>
  <si>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</si>
  <si>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</si>
  <si>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</si>
  <si>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</si>
  <si>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</si>
  <si>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</si>
  <si>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</si>
  <si>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</si>
  <si>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</si>
  <si>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</si>
  <si>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</si>
  <si>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</si>
  <si>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</si>
  <si>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</si>
  <si>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</si>
  <si>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</si>
  <si>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</si>
  <si>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</si>
  <si>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</si>
  <si>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</si>
  <si>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</si>
  <si>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</si>
  <si>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</si>
  <si>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</si>
  <si>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</si>
  <si>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</si>
  <si>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</si>
  <si>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</si>
  <si>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</si>
  <si>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</si>
  <si>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</si>
  <si>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</si>
  <si>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</si>
  <si>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</si>
  <si>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</si>
  <si>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</si>
  <si>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</si>
  <si>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</si>
  <si>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</si>
  <si>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</si>
  <si>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</si>
  <si>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</si>
  <si>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</si>
  <si>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</si>
  <si>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</si>
  <si>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</si>
  <si>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</si>
  <si>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</si>
  <si>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</si>
  <si>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</si>
  <si>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</si>
  <si>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</si>
  <si>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</si>
  <si>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</si>
  <si>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</si>
  <si>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</si>
  <si>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</si>
  <si>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</si>
  <si>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</si>
  <si>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</si>
  <si>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</si>
  <si>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</si>
  <si>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</si>
  <si>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</si>
  <si>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</si>
  <si>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</si>
  <si>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</si>
  <si>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</si>
  <si>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</si>
  <si>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</si>
  <si>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</si>
  <si>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</si>
  <si>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</si>
  <si>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</si>
  <si>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</si>
  <si>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</si>
  <si>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</si>
  <si>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</si>
  <si>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</si>
  <si>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</si>
  <si>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</si>
  <si>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</si>
  <si>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</si>
  <si>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</si>
  <si>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</si>
  <si>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</si>
  <si>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</si>
  <si>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</si>
  <si>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</si>
  <si>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</si>
  <si>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</si>
  <si>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</si>
  <si>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</si>
  <si>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</si>
  <si>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</si>
  <si>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</si>
  <si>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</si>
  <si>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</si>
  <si>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</si>
  <si>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</si>
  <si>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</si>
  <si>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</si>
  <si>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</si>
  <si>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</si>
  <si>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</si>
  <si>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</si>
  <si>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</si>
  <si>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</si>
  <si>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</si>
  <si>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</si>
  <si>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</si>
  <si>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</si>
  <si>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</si>
  <si>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</si>
  <si>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</si>
  <si>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</si>
  <si>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</si>
  <si>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</si>
  <si>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</si>
  <si>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</si>
  <si>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</si>
  <si>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</si>
  <si>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</si>
  <si>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</si>
  <si>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</si>
  <si>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</si>
  <si>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</si>
  <si>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</si>
  <si>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</si>
  <si>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</si>
  <si>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</si>
  <si>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</si>
  <si>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</si>
  <si>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</si>
  <si>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</si>
  <si>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</si>
  <si>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</si>
  <si>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</si>
  <si>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</si>
  <si>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</si>
  <si>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</si>
  <si>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</si>
  <si>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</si>
  <si>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</si>
  <si>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</si>
  <si>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</si>
  <si>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</si>
  <si>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</si>
  <si>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</si>
  <si>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</si>
  <si>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</si>
  <si>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</si>
  <si>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</si>
  <si>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</si>
  <si>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</si>
  <si>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</si>
  <si>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</si>
  <si>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</si>
  <si>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</si>
  <si>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</si>
  <si>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</si>
  <si>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</si>
  <si>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</si>
  <si>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</si>
  <si>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</si>
  <si>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</si>
  <si>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</si>
  <si>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</si>
  <si>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</si>
  <si>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</si>
  <si>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</si>
  <si>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</si>
  <si>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</si>
  <si>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</si>
  <si>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</si>
  <si>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</si>
  <si>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</si>
  <si>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</si>
  <si>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</si>
  <si>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</si>
  <si>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</si>
  <si>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</si>
  <si>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</si>
  <si>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</si>
  <si>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</si>
  <si>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</si>
  <si>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</si>
  <si>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</si>
  <si>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</si>
  <si>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</si>
  <si>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</si>
  <si>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</si>
  <si>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</si>
  <si>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</si>
  <si>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</si>
  <si>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</si>
  <si>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</si>
  <si>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</si>
  <si>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</si>
  <si>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</si>
  <si>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</si>
  <si>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</si>
  <si>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</si>
  <si>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</si>
  <si>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</si>
  <si>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</si>
  <si>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</si>
  <si>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</si>
  <si>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</si>
  <si>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</si>
  <si>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</si>
  <si>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</si>
  <si>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</si>
  <si>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</si>
  <si>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</si>
  <si>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</si>
  <si>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</si>
  <si>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</si>
  <si>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</si>
  <si>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</si>
  <si>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</si>
  <si>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</si>
  <si>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</si>
  <si>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</si>
  <si>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</si>
  <si>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</si>
  <si>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</si>
  <si>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</si>
  <si>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</si>
  <si>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</si>
  <si>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</si>
  <si>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</si>
  <si>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</si>
  <si>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</si>
  <si>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</si>
  <si>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</si>
  <si>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</si>
  <si>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</si>
  <si>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</si>
  <si>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</si>
  <si>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</si>
  <si>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</si>
  <si>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</si>
  <si>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</si>
  <si>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</si>
  <si>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</si>
  <si>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</si>
  <si>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</si>
  <si>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</si>
  <si>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</si>
  <si>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</si>
  <si>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</si>
  <si>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</si>
  <si>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</si>
  <si>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</si>
  <si>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</si>
  <si>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</si>
  <si>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</si>
  <si>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</si>
  <si>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</si>
  <si>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</si>
  <si>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</si>
  <si>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</si>
  <si>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</si>
  <si>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</si>
  <si>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</si>
  <si>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</si>
  <si>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</si>
  <si>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</si>
  <si>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</si>
  <si>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</si>
  <si>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</si>
  <si>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</si>
  <si>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</si>
  <si>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</si>
  <si>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</si>
  <si>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</si>
  <si>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</si>
  <si>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</si>
  <si>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</si>
  <si>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</si>
  <si>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</si>
  <si>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</si>
  <si>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</si>
  <si>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</si>
  <si>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</si>
  <si>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</si>
  <si>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</si>
  <si>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</si>
  <si>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</si>
  <si>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</si>
  <si>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</si>
  <si>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</si>
  <si>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</si>
  <si>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</si>
  <si>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</si>
  <si>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</si>
  <si>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</si>
  <si>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</si>
  <si>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</si>
  <si>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</si>
  <si>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</si>
  <si>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</si>
  <si>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</si>
  <si>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</si>
  <si>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</si>
  <si>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</si>
  <si>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</si>
  <si>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</si>
  <si>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</si>
  <si>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</si>
  <si>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</si>
  <si>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</si>
  <si>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</si>
  <si>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</si>
  <si>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</si>
  <si>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</si>
  <si>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</si>
  <si>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</si>
  <si>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</si>
  <si>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</si>
  <si>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</si>
  <si>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</si>
  <si>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</si>
  <si>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</si>
  <si>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</si>
  <si>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</si>
  <si>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</si>
  <si>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</si>
  <si>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</si>
  <si>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</si>
  <si>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</si>
  <si>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</si>
  <si>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</si>
  <si>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</si>
  <si>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</si>
  <si>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</si>
  <si>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</si>
  <si>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</si>
  <si>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</si>
  <si>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</si>
  <si>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</si>
  <si>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</si>
  <si>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</si>
  <si>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</si>
  <si>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</si>
  <si>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</si>
  <si>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</si>
  <si>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</si>
  <si>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</si>
  <si>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</si>
  <si>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</si>
  <si>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</si>
  <si>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</si>
  <si>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</si>
  <si>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</si>
  <si>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</si>
  <si>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</si>
  <si>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</si>
  <si>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</si>
  <si>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</si>
  <si>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</si>
  <si>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</si>
  <si>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</si>
  <si>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</si>
  <si>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</si>
  <si>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</si>
  <si>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</si>
  <si>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</si>
  <si>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</si>
  <si>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</si>
  <si>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</si>
  <si>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</si>
  <si>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</si>
  <si>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</si>
  <si>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</si>
  <si>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</si>
  <si>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</si>
  <si>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</si>
  <si>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</si>
  <si>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</si>
  <si>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</si>
  <si>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</si>
  <si>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</si>
  <si>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</si>
  <si>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</si>
  <si>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</si>
  <si>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</si>
  <si>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</si>
  <si>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</si>
  <si>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</si>
  <si>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</si>
  <si>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</si>
  <si>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</si>
  <si>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</si>
  <si>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</si>
  <si>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</si>
  <si>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</si>
  <si>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</si>
  <si>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</si>
  <si>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</si>
  <si>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</si>
  <si>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</si>
  <si>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</si>
  <si>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</si>
  <si>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</si>
  <si>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</si>
  <si>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</si>
  <si>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</si>
  <si>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</si>
  <si>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</si>
  <si>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</si>
  <si>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</si>
  <si>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</si>
  <si>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</si>
  <si>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</si>
  <si>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</si>
  <si>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</si>
  <si>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</si>
  <si>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</si>
  <si>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</si>
  <si>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</si>
  <si>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</si>
  <si>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</si>
  <si>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</si>
  <si>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</si>
  <si>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</si>
  <si>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</si>
  <si>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</si>
  <si>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</si>
  <si>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</si>
  <si>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</si>
  <si>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</si>
  <si>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</si>
  <si>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</si>
  <si>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</si>
  <si>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</si>
  <si>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</si>
  <si>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</si>
  <si>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</si>
  <si>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</si>
  <si>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</si>
  <si>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</si>
  <si>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</si>
  <si>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</si>
  <si>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</si>
  <si>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</si>
  <si>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</si>
  <si>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</si>
  <si>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</si>
  <si>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</si>
  <si>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</si>
  <si>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</si>
  <si>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</si>
  <si>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</si>
  <si>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</si>
  <si>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</si>
  <si>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</si>
  <si>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</si>
  <si>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</si>
  <si>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</si>
  <si>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</si>
  <si>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</si>
  <si>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</si>
  <si>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</si>
  <si>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</si>
  <si>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</si>
  <si>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</si>
  <si>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</si>
  <si>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</si>
  <si>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</si>
  <si>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</si>
  <si>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</si>
  <si>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</si>
  <si>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</si>
  <si>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</si>
  <si>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</si>
  <si>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</si>
  <si>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</si>
  <si>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</si>
  <si>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</si>
  <si>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</si>
  <si>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</si>
  <si>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</si>
  <si>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</si>
  <si>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</si>
  <si>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</si>
  <si>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</si>
  <si>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</si>
  <si>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</si>
  <si>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</si>
  <si>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</si>
  <si>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</si>
  <si>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</si>
  <si>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</si>
  <si>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</si>
  <si>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</si>
  <si>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</si>
  <si>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</si>
  <si>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</si>
  <si>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</si>
  <si>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</si>
  <si>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</si>
  <si>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</si>
  <si>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</si>
  <si>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</si>
  <si>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</si>
  <si>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</si>
  <si>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</si>
  <si>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</si>
  <si>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</si>
  <si>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</si>
  <si>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</si>
  <si>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</si>
  <si>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</si>
  <si>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</si>
  <si>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</si>
  <si>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</si>
  <si>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</si>
  <si>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</si>
  <si>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</si>
  <si>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</si>
  <si>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</si>
  <si>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</si>
  <si>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</si>
  <si>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</si>
  <si>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</si>
  <si>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</si>
  <si>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</si>
  <si>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</si>
  <si>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</si>
  <si>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</si>
  <si>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</si>
  <si>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</si>
  <si>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</si>
  <si>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</si>
  <si>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</si>
  <si>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</si>
  <si>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</si>
  <si>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</si>
  <si>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</si>
  <si>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</si>
  <si>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</si>
  <si>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</si>
  <si>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</si>
  <si>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</si>
  <si>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</si>
  <si>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</si>
  <si>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</si>
  <si>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</si>
  <si>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</si>
  <si>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</si>
  <si>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</si>
  <si>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</si>
  <si>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</si>
  <si>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</si>
  <si>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</si>
  <si>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</si>
  <si>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</si>
  <si>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</si>
  <si>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</si>
  <si>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</si>
  <si>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</si>
  <si>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</si>
  <si>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</si>
  <si>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</si>
  <si>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</si>
  <si>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</si>
  <si>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</si>
  <si>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</si>
  <si>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</si>
  <si>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</si>
  <si>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</si>
  <si>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</si>
  <si>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</si>
  <si>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</si>
  <si>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</si>
  <si>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</si>
  <si>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</si>
  <si>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</si>
  <si>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</si>
  <si>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</si>
  <si>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</si>
  <si>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</si>
  <si>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</si>
  <si>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</si>
  <si>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</si>
  <si>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</si>
  <si>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</si>
  <si>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</si>
  <si>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</si>
  <si>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</si>
  <si>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</si>
  <si>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</si>
  <si>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</si>
  <si>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</si>
  <si>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</si>
  <si>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</si>
  <si>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</si>
  <si>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</si>
  <si>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</si>
  <si>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</si>
  <si>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</si>
  <si>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</si>
  <si>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</si>
  <si>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</si>
  <si>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</si>
  <si>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</si>
  <si>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</si>
  <si>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</si>
  <si>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</si>
  <si>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</si>
  <si>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</si>
  <si>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</si>
  <si>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</si>
  <si>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</si>
  <si>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</si>
  <si>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</si>
  <si>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</si>
  <si>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</si>
  <si>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</si>
  <si>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</si>
  <si>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</si>
  <si>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</si>
  <si>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</si>
  <si>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</si>
  <si>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</si>
  <si>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</si>
  <si>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</si>
  <si>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</si>
  <si>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</si>
  <si>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</si>
  <si>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</si>
  <si>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</si>
  <si>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</si>
  <si>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</si>
  <si>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</si>
  <si>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</si>
  <si>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</si>
  <si>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</si>
  <si>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</si>
  <si>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</si>
  <si>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</si>
  <si>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</si>
  <si>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</si>
  <si>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</si>
  <si>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</si>
  <si>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</si>
  <si>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</si>
  <si>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</si>
  <si>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</si>
  <si>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</si>
  <si>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</si>
  <si>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</si>
  <si>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</si>
  <si>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</si>
  <si>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</si>
  <si>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</si>
  <si>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</si>
  <si>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</si>
  <si>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</si>
  <si>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</si>
  <si>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</si>
  <si>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</si>
  <si>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</si>
  <si>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</si>
  <si>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</si>
  <si>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</si>
  <si>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</si>
  <si>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</si>
  <si>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</si>
  <si>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</si>
  <si>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</si>
  <si>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</si>
  <si>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</si>
  <si>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</si>
  <si>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</si>
  <si>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</si>
  <si>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</si>
  <si>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</si>
  <si>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</si>
  <si>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</si>
  <si>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</si>
  <si>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</si>
  <si>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</si>
  <si>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</si>
  <si>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</si>
  <si>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</si>
  <si>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</si>
  <si>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</si>
  <si>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</si>
  <si>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</si>
  <si>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</si>
  <si>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</si>
  <si>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</si>
  <si>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</si>
  <si>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</si>
  <si>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</si>
  <si>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</si>
  <si>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</si>
  <si>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</si>
  <si>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</si>
  <si>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</si>
  <si>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</si>
  <si>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</si>
  <si>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</si>
  <si>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</si>
  <si>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</si>
  <si>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</si>
  <si>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</si>
  <si>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</si>
  <si>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</si>
  <si>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</si>
  <si>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</si>
  <si>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</si>
  <si>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</si>
  <si>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</si>
  <si>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</si>
  <si>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</si>
  <si>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</si>
  <si>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</si>
  <si>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</si>
  <si>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</si>
  <si>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</si>
  <si>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</si>
  <si>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</si>
  <si>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</si>
  <si>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</si>
  <si>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</si>
  <si>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</si>
  <si>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</si>
  <si>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</si>
  <si>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</si>
  <si>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</si>
  <si>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</si>
  <si>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</si>
  <si>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</si>
  <si>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</si>
  <si>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</si>
  <si>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</si>
  <si>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</si>
  <si>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</si>
  <si>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</si>
  <si>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</si>
  <si>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</si>
  <si>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</si>
  <si>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</si>
  <si>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</si>
  <si>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</si>
  <si>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</si>
  <si>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</si>
  <si>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</si>
  <si>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</si>
  <si>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</si>
  <si>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</si>
  <si>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</si>
  <si>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</si>
  <si>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</si>
  <si>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</si>
  <si>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</si>
  <si>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</si>
  <si>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</si>
  <si>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</si>
  <si>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</si>
  <si>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</si>
  <si>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</si>
  <si>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</si>
  <si>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</si>
  <si>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</si>
  <si>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</si>
  <si>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</si>
  <si>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</si>
  <si>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</si>
  <si>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</si>
  <si>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</si>
  <si>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</si>
  <si>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</si>
  <si>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</si>
  <si>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</si>
  <si>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</si>
  <si>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</si>
  <si>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</si>
  <si>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</si>
  <si>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</si>
  <si>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</si>
  <si>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</si>
  <si>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</si>
  <si>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</si>
  <si>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</si>
  <si>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</si>
  <si>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</si>
  <si>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</si>
  <si>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</si>
  <si>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</si>
  <si>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</si>
  <si>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</si>
  <si>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</si>
  <si>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</si>
  <si>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</si>
  <si>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</si>
  <si>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</si>
  <si>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</si>
  <si>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</si>
  <si>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</si>
  <si>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</si>
  <si>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</si>
  <si>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</si>
  <si>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</si>
  <si>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</si>
  <si>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</si>
  <si>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</si>
  <si>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</si>
  <si>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</si>
  <si>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</si>
  <si>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</si>
  <si>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</si>
  <si>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</si>
  <si>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</si>
  <si>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</si>
  <si>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</si>
  <si>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</si>
  <si>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</si>
  <si>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</si>
  <si>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</si>
  <si>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</si>
  <si>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</si>
  <si>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</si>
  <si>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</si>
  <si>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</si>
  <si>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</si>
  <si>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</si>
  <si>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</si>
  <si>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</si>
  <si>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</si>
  <si>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</si>
  <si>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</si>
  <si>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</si>
  <si>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</si>
  <si>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</si>
  <si>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</si>
  <si>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</si>
  <si>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</si>
  <si>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</si>
  <si>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</si>
  <si>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</si>
  <si>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</si>
  <si>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</si>
  <si>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</si>
  <si>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</si>
  <si>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</si>
  <si>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</si>
  <si>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</si>
  <si>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</si>
  <si>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</si>
  <si>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</si>
  <si>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</si>
  <si>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</si>
  <si>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</si>
  <si>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</si>
  <si>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</si>
  <si>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</si>
  <si>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</si>
  <si>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</si>
  <si>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</si>
  <si>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</si>
  <si>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</si>
  <si>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</si>
  <si>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</si>
  <si>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</si>
  <si>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</si>
  <si>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</si>
  <si>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</si>
  <si>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</si>
  <si>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</si>
  <si>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</si>
  <si>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</si>
  <si>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</si>
  <si>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</si>
  <si>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</si>
  <si>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</si>
  <si>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</si>
  <si>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</si>
  <si>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</si>
  <si>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</si>
  <si>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</si>
  <si>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</si>
  <si>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</si>
  <si>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</si>
  <si>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</si>
  <si>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</si>
  <si>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</si>
  <si>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</si>
  <si>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</si>
  <si>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</si>
  <si>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</si>
  <si>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</si>
  <si>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</si>
  <si>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</si>
  <si>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</si>
  <si>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</si>
  <si>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</si>
  <si>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</si>
  <si>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</si>
  <si>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</si>
  <si>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</si>
  <si>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</si>
  <si>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</si>
  <si>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</si>
  <si>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</si>
  <si>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</si>
  <si>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</si>
  <si>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</si>
  <si>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</si>
  <si>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</si>
  <si>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</si>
  <si>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</si>
  <si>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</si>
  <si>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</si>
  <si>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</si>
  <si>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</si>
  <si>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</si>
  <si>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</si>
  <si>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</si>
  <si>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</si>
  <si>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</si>
  <si>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</si>
  <si>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</si>
  <si>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</si>
  <si>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</si>
  <si>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</si>
  <si>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</si>
  <si>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</si>
  <si>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</si>
  <si>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</si>
  <si>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</si>
  <si>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</si>
  <si>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</si>
  <si>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</si>
  <si>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</si>
  <si>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</si>
  <si>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</si>
  <si>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</si>
  <si>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</si>
  <si>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</si>
  <si>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</si>
  <si>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</si>
  <si>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</si>
  <si>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</si>
  <si>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</si>
  <si>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</si>
  <si>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</si>
  <si>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</si>
  <si>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</si>
  <si>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</si>
  <si>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</si>
  <si>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</si>
  <si>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</si>
  <si>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</si>
  <si>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</si>
  <si>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</si>
  <si>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</si>
  <si>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</si>
  <si>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</si>
  <si>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</si>
  <si>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</si>
  <si>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</si>
  <si>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</si>
  <si>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</si>
  <si>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</si>
  <si>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</si>
  <si>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</si>
  <si>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</si>
  <si>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</si>
  <si>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</si>
  <si>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</si>
  <si>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</si>
  <si>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</si>
  <si>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</si>
  <si>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</si>
  <si>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</si>
  <si>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</si>
  <si>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</si>
  <si>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</si>
  <si>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</si>
  <si>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</si>
  <si>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</si>
  <si>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</si>
  <si>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</si>
  <si>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</si>
  <si>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</si>
  <si>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</si>
  <si>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</si>
  <si>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</si>
  <si>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</si>
  <si>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</si>
  <si>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</si>
  <si>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</si>
  <si>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</si>
  <si>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</si>
  <si>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</si>
  <si>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</si>
  <si>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</si>
  <si>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</si>
  <si>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</si>
  <si>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</si>
  <si>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</si>
  <si>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</si>
  <si>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</si>
  <si>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</si>
  <si>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</si>
  <si>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</si>
  <si>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</si>
  <si>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</si>
  <si>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</si>
  <si>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</si>
  <si>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</si>
  <si>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</si>
  <si>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</si>
  <si>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</si>
  <si>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</si>
  <si>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</si>
  <si>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</si>
  <si>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</si>
  <si>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</si>
  <si>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</si>
  <si>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</si>
  <si>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</si>
  <si>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</si>
  <si>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</si>
  <si>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</si>
  <si>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</si>
  <si>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</si>
  <si>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</si>
  <si>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</si>
  <si>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</si>
  <si>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</si>
  <si>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</si>
  <si>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</si>
  <si>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</si>
  <si>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</si>
  <si>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</si>
  <si>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</si>
  <si>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</si>
  <si>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</si>
  <si>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</si>
  <si>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</si>
  <si>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</si>
  <si>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</si>
  <si>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</si>
  <si>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</si>
  <si>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</si>
  <si>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</si>
  <si>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</si>
  <si>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</si>
  <si>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</si>
  <si>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</si>
  <si>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</si>
  <si>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</si>
  <si>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</si>
  <si>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</si>
  <si>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</si>
  <si>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</si>
  <si>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</si>
  <si>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</si>
  <si>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</si>
  <si>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</si>
  <si>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</si>
  <si>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</si>
  <si>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</si>
  <si>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</si>
  <si>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</si>
  <si>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</si>
  <si>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</si>
  <si>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</si>
  <si>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</si>
  <si>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</si>
  <si>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</si>
  <si>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</si>
  <si>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</si>
  <si>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</si>
  <si>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</si>
  <si>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</si>
  <si>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</si>
  <si>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</si>
  <si>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</si>
  <si>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</si>
  <si>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</si>
  <si>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</si>
  <si>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</si>
  <si>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</si>
  <si>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</si>
  <si>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</si>
  <si>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</si>
  <si>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</si>
  <si>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</si>
  <si>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</si>
  <si>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</si>
  <si>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</si>
  <si>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</si>
  <si>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</si>
  <si>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</si>
  <si>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</si>
  <si>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</si>
  <si>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</si>
  <si>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</si>
  <si>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</si>
  <si>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</si>
  <si>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</si>
  <si>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</si>
  <si>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</si>
  <si>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</si>
  <si>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</si>
  <si>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</si>
  <si>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</si>
  <si>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</si>
  <si>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</si>
  <si>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</si>
  <si>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</si>
  <si>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</si>
  <si>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</si>
  <si>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</si>
  <si>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</si>
  <si>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</si>
  <si>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</si>
  <si>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</si>
  <si>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</si>
  <si>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</si>
  <si>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</si>
  <si>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</si>
  <si>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</si>
  <si>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</si>
  <si>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</si>
  <si>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</si>
  <si>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</si>
  <si>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</si>
  <si>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</si>
  <si>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</si>
  <si>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</si>
  <si>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</si>
  <si>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</si>
  <si>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</si>
  <si>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</si>
  <si>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</si>
  <si>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</si>
  <si>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</si>
  <si>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</si>
  <si>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</si>
  <si>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</si>
  <si>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</si>
  <si>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</si>
  <si>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</si>
  <si>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</si>
  <si>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</si>
  <si>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</si>
  <si>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</si>
  <si>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</si>
  <si>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</si>
  <si>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</si>
  <si>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</si>
  <si>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</si>
  <si>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</si>
  <si>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</si>
  <si>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</si>
  <si>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</si>
  <si>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</si>
  <si>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</si>
  <si>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</si>
  <si>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</si>
  <si>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</si>
  <si>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</si>
  <si>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</si>
  <si>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</si>
  <si>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</si>
  <si>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</si>
  <si>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</si>
  <si>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</si>
  <si>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</si>
  <si>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</si>
  <si>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</si>
  <si>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</si>
  <si>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</si>
  <si>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</si>
  <si>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</si>
  <si>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</si>
  <si>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</si>
  <si>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</si>
  <si>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</si>
  <si>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</si>
  <si>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</si>
  <si>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</si>
  <si>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</si>
  <si>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</si>
  <si>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</si>
  <si>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</si>
  <si>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</si>
  <si>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</si>
  <si>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</si>
  <si>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</si>
  <si>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</si>
  <si>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</si>
  <si>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</si>
  <si>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</si>
  <si>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</si>
  <si>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</si>
  <si>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</si>
  <si>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</si>
  <si>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</si>
  <si>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</si>
  <si>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</si>
  <si>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</si>
  <si>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</si>
  <si>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</si>
  <si>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</si>
  <si>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</si>
  <si>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</si>
  <si>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</si>
  <si>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</si>
  <si>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</si>
  <si>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</si>
  <si>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</si>
  <si>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</si>
  <si>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</si>
  <si>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</si>
  <si>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</si>
  <si>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</si>
  <si>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</si>
  <si>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</si>
  <si>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</si>
  <si>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</si>
  <si>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</si>
  <si>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</si>
  <si>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</si>
  <si>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</si>
  <si>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</si>
  <si>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</si>
  <si>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</si>
  <si>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</si>
  <si>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</si>
  <si>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</si>
  <si>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</si>
  <si>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</si>
  <si>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</si>
  <si>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</si>
  <si>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</si>
  <si>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</si>
  <si>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</si>
  <si>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</si>
  <si>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</si>
  <si>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</si>
  <si>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</si>
  <si>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</si>
  <si>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</si>
  <si>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</si>
  <si>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</si>
  <si>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</si>
  <si>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</si>
  <si>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</si>
  <si>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</si>
  <si>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</si>
  <si>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</si>
  <si>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</si>
  <si>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</si>
  <si>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</si>
  <si>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</si>
  <si>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</si>
  <si>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</si>
  <si>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</si>
  <si>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</si>
  <si>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</si>
  <si>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</si>
  <si>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</si>
  <si>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</si>
  <si>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</si>
  <si>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</si>
  <si>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</si>
  <si>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</si>
  <si>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</si>
  <si>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</si>
  <si>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</si>
  <si>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</si>
  <si>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</si>
  <si>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</si>
  <si>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</si>
  <si>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</si>
  <si>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</si>
  <si>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</si>
  <si>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</si>
  <si>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</si>
  <si>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</si>
  <si>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</si>
  <si>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</si>
  <si>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</si>
  <si>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</si>
  <si>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</si>
  <si>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</si>
  <si>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</si>
  <si>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</si>
  <si>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</si>
  <si>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</si>
  <si>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</si>
  <si>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</si>
  <si>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</si>
  <si>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</si>
  <si>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</si>
  <si>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</si>
  <si>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</si>
  <si>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</si>
  <si>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</si>
  <si>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</si>
  <si>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</si>
  <si>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</si>
  <si>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</si>
  <si>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</si>
  <si>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</si>
  <si>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</si>
  <si>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</si>
  <si>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</si>
  <si>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</si>
  <si>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</si>
  <si>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</si>
  <si>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</si>
  <si>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</si>
  <si>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</si>
  <si>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</si>
  <si>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</si>
  <si>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</si>
  <si>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09554/28-28</t>
  </si>
  <si>
    <t>13.07.2017 г.</t>
  </si>
  <si>
    <t>Радослава Горанова</t>
  </si>
  <si>
    <t>Силвия Еленкова</t>
  </si>
  <si>
    <t>Пламен Петков</t>
  </si>
  <si>
    <t>chiprovci@mail.bg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</si>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</sst>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6210</v>
      </c>
      <c r="H2" s="1024"/>
      <c r="I2" s="1736">
        <f>+OTCHET!H603</f>
        <v>0</v>
      </c>
      <c r="J2" s="1737"/>
      <c r="K2" s="1015"/>
      <c r="L2" s="1738" t="str">
        <f>OTCHET!H601</f>
        <v>chiprovci@mail.bg</v>
      </c>
      <c r="M2" s="1739"/>
      <c r="N2" s="1740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42916</v>
      </c>
      <c r="M6" s="1021"/>
      <c r="N6" s="1046" t="s">
        <v>1021</v>
      </c>
      <c r="O6" s="1010"/>
      <c r="P6" s="1047">
        <f>OTCHET!F9</f>
        <v>42916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42916</v>
      </c>
      <c r="H9" s="1021"/>
      <c r="I9" s="1071">
        <f>+L4</f>
        <v>2017</v>
      </c>
      <c r="J9" s="1072">
        <f>+L6</f>
        <v>42916</v>
      </c>
      <c r="K9" s="1073"/>
      <c r="L9" s="1074">
        <f>+L6</f>
        <v>42916</v>
      </c>
      <c r="M9" s="1073"/>
      <c r="N9" s="1075">
        <f>+L6</f>
        <v>42916</v>
      </c>
      <c r="O9" s="1076"/>
      <c r="P9" s="1077">
        <f>+L4</f>
        <v>2017</v>
      </c>
      <c r="Q9" s="1075">
        <f>+L6</f>
        <v>42916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90291</v>
      </c>
      <c r="K42" s="1097"/>
      <c r="L42" s="1116">
        <f>+IF($P$2=33,$Q42,0)</f>
        <v>0</v>
      </c>
      <c r="M42" s="1097"/>
      <c r="N42" s="1117">
        <f>+ROUND(+G42+J42+L42,0)</f>
        <v>90291</v>
      </c>
      <c r="O42" s="1099"/>
      <c r="P42" s="1115">
        <f>+ROUND(+SUM(OTCHET!E144:E149)+SUM(OTCHET!E162:E167),0)</f>
        <v>0</v>
      </c>
      <c r="Q42" s="1116">
        <f>+ROUND(+SUM(OTCHET!L144:L149)+SUM(OTCHET!L162:L167),0)</f>
        <v>90291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90291</v>
      </c>
      <c r="K45" s="1097"/>
      <c r="L45" s="1128">
        <f>+ROUND(+SUM(L41:L44),0)</f>
        <v>0</v>
      </c>
      <c r="M45" s="1097"/>
      <c r="N45" s="1129">
        <f>+ROUND(+SUM(N41:N44),0)</f>
        <v>90291</v>
      </c>
      <c r="O45" s="1099"/>
      <c r="P45" s="1127">
        <f>+ROUND(+SUM(P41:P44),0)</f>
        <v>0</v>
      </c>
      <c r="Q45" s="1128">
        <f>+ROUND(+SUM(Q41:Q44),0)</f>
        <v>90291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90291</v>
      </c>
      <c r="K47" s="1097"/>
      <c r="L47" s="1202">
        <f>+ROUND(L22+L27+L34+L39+L45,0)</f>
        <v>0</v>
      </c>
      <c r="M47" s="1097"/>
      <c r="N47" s="1203">
        <f>+ROUND(N22+N27+N34+N39+N45,0)</f>
        <v>90291</v>
      </c>
      <c r="O47" s="1204"/>
      <c r="P47" s="1201">
        <f>+ROUND(P22+P27+P34+P39+P45,0)</f>
        <v>0</v>
      </c>
      <c r="Q47" s="1202">
        <f>+ROUND(Q22+Q27+Q34+Q39+Q45,0)</f>
        <v>90291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53255</v>
      </c>
      <c r="K50" s="1097"/>
      <c r="L50" s="1104">
        <f>+IF($P$2=33,$Q50,0)</f>
        <v>0</v>
      </c>
      <c r="M50" s="1097"/>
      <c r="N50" s="1134">
        <f>+ROUND(+G50+J50+L50,0)</f>
        <v>53255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53255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10811</v>
      </c>
      <c r="K53" s="1097"/>
      <c r="L53" s="1122">
        <f>+IF($P$2=33,$Q53,0)</f>
        <v>0</v>
      </c>
      <c r="M53" s="1097"/>
      <c r="N53" s="1123">
        <f>+ROUND(+G53+J53+L53,0)</f>
        <v>10811</v>
      </c>
      <c r="O53" s="1099"/>
      <c r="P53" s="1121">
        <f>+ROUND(OTCHET!E186+OTCHET!E189,0)</f>
        <v>0</v>
      </c>
      <c r="Q53" s="1122">
        <f>+ROUND(OTCHET!L186+OTCHET!L189,0)</f>
        <v>10811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2165</v>
      </c>
      <c r="K54" s="1097"/>
      <c r="L54" s="1122">
        <f>+IF($P$2=33,$Q54,0)</f>
        <v>0</v>
      </c>
      <c r="M54" s="1097"/>
      <c r="N54" s="1123">
        <f>+ROUND(+G54+J54+L54,0)</f>
        <v>2165</v>
      </c>
      <c r="O54" s="1099"/>
      <c r="P54" s="1121">
        <f>+ROUND(OTCHET!E195+OTCHET!E203,0)</f>
        <v>0</v>
      </c>
      <c r="Q54" s="1122">
        <f>+ROUND(OTCHET!L195+OTCHET!L203,0)</f>
        <v>2165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66231</v>
      </c>
      <c r="K55" s="1097"/>
      <c r="L55" s="1210">
        <f>+ROUND(+SUM(L50:L54),0)</f>
        <v>0</v>
      </c>
      <c r="M55" s="1097"/>
      <c r="N55" s="1211">
        <f>+ROUND(+SUM(N50:N54),0)</f>
        <v>66231</v>
      </c>
      <c r="O55" s="1099"/>
      <c r="P55" s="1209">
        <f>+ROUND(+SUM(P50:P54),0)</f>
        <v>0</v>
      </c>
      <c r="Q55" s="1210">
        <f>+ROUND(+SUM(Q50:Q54),0)</f>
        <v>66231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66231</v>
      </c>
      <c r="K76" s="1097"/>
      <c r="L76" s="1235">
        <f>+ROUND(L55+L62+L66+L70+L74,0)</f>
        <v>0</v>
      </c>
      <c r="M76" s="1097"/>
      <c r="N76" s="1236">
        <f>+ROUND(N55+N62+N66+N70+N74,0)</f>
        <v>66231</v>
      </c>
      <c r="O76" s="1099"/>
      <c r="P76" s="1233">
        <f>+ROUND(P55+P62+P66+P70+P74,0)</f>
        <v>0</v>
      </c>
      <c r="Q76" s="1234">
        <f>+ROUND(Q55+Q62+Q66+Q70+Q74,0)</f>
        <v>66231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24060</v>
      </c>
      <c r="K82" s="1097"/>
      <c r="L82" s="1257">
        <f>+ROUND(L47,0)-ROUND(L76,0)+ROUND(L80,0)</f>
        <v>0</v>
      </c>
      <c r="M82" s="1097"/>
      <c r="N82" s="1258">
        <f>+ROUND(N47,0)-ROUND(N76,0)+ROUND(N80,0)</f>
        <v>24060</v>
      </c>
      <c r="O82" s="1259"/>
      <c r="P82" s="1256">
        <f>+ROUND(P47,0)-ROUND(P76,0)+ROUND(P80,0)</f>
        <v>0</v>
      </c>
      <c r="Q82" s="1257">
        <f>+ROUND(Q47,0)-ROUND(Q76,0)+ROUND(Q80,0)</f>
        <v>24060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-24060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-24060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-24060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-24060</v>
      </c>
      <c r="K122" s="1097"/>
      <c r="L122" s="1122">
        <f>+IF($P$2=33,$Q122,0)</f>
        <v>0</v>
      </c>
      <c r="M122" s="1097"/>
      <c r="N122" s="1123">
        <f>+ROUND(+G122+J122+L122,0)</f>
        <v>-24060</v>
      </c>
      <c r="O122" s="1099"/>
      <c r="P122" s="1121">
        <f>+ROUND(OTCHET!E520,0)</f>
        <v>0</v>
      </c>
      <c r="Q122" s="1122">
        <f>+ROUND(OTCHET!L520,0)</f>
        <v>-24060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-24060</v>
      </c>
      <c r="K125" s="1097"/>
      <c r="L125" s="1244">
        <f>+ROUND(+SUM(L121:L124),0)</f>
        <v>0</v>
      </c>
      <c r="M125" s="1097"/>
      <c r="N125" s="1245">
        <f>+ROUND(+SUM(N121:N124),0)</f>
        <v>-24060</v>
      </c>
      <c r="O125" s="1099"/>
      <c r="P125" s="1243">
        <f>+ROUND(+SUM(P121:P124),0)</f>
        <v>0</v>
      </c>
      <c r="Q125" s="1244">
        <f>+ROUND(+SUM(Q121:Q124),0)</f>
        <v>-24060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13.07.2017 г.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42916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90291</v>
      </c>
      <c r="G22" s="765">
        <f>+G23+G25+G36+G37</f>
        <v>0</v>
      </c>
      <c r="H22" s="766">
        <f>+H23+H25+H36+H37</f>
        <v>90291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90291</v>
      </c>
      <c r="G37" s="841">
        <f>OTCHET!I141+OTCHET!I150+OTCHET!I159</f>
        <v>0</v>
      </c>
      <c r="H37" s="842">
        <f>OTCHET!J141+OTCHET!J150+OTCHET!J159</f>
        <v>90291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66231</v>
      </c>
      <c r="G38" s="849">
        <f>SUM(G39:G53)-G44-G46-G51-G52</f>
        <v>0</v>
      </c>
      <c r="H38" s="850">
        <f>SUM(H39:H53)-H44-H46-H51-H52</f>
        <v>66231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10811</v>
      </c>
      <c r="G40" s="817">
        <f>OTCHET!I189</f>
        <v>0</v>
      </c>
      <c r="H40" s="818">
        <f>OTCHET!J189</f>
        <v>10811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2165</v>
      </c>
      <c r="G41" s="817">
        <f>+OTCHET!I195+OTCHET!I203</f>
        <v>0</v>
      </c>
      <c r="H41" s="818">
        <f>+OTCHET!J195+OTCHET!J203</f>
        <v>2165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53255</v>
      </c>
      <c r="G42" s="817">
        <f>+OTCHET!I204+OTCHET!I222+OTCHET!I271</f>
        <v>0</v>
      </c>
      <c r="H42" s="818">
        <f>+OTCHET!J204+OTCHET!J222+OTCHET!J271</f>
        <v>53255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24060</v>
      </c>
      <c r="G62" s="930">
        <f>+G22-G38+G54-G61</f>
        <v>0</v>
      </c>
      <c r="H62" s="931">
        <f>+H22-H38+H54-H61</f>
        <v>24060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-24060</v>
      </c>
      <c r="G64" s="940">
        <f>SUM(+G66+G74+G75+G82+G83+G84+G87+G88+G89+G90+G91+G92+G93)</f>
        <v>0</v>
      </c>
      <c r="H64" s="941">
        <f>SUM(+H66+H74+H75+H82+H83+H84+H87+H88+H89+H90+H91+H92+H93)</f>
        <v>-24060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-24060</v>
      </c>
      <c r="G84" s="908">
        <f>+G85+G86</f>
        <v>0</v>
      </c>
      <c r="H84" s="909">
        <f>+H85+H86</f>
        <v>-24060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-24060</v>
      </c>
      <c r="G86" s="966">
        <f>+OTCHET!I517+OTCHET!I520+OTCHET!I540</f>
        <v>0</v>
      </c>
      <c r="H86" s="967">
        <f>+OTCHET!J517+OTCHET!J520+OTCHET!J540</f>
        <v>-24060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Радослава Горанова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Силвия Еленкова</v>
      </c>
      <c r="F112" s="1752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zoomScale="75" zoomScaleNormal="75" zoomScalePageLayoutView="0" workbookViewId="0" topLeftCell="B716">
      <selection activeCell="J650" sqref="J65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ДЕС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42916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юни</v>
      </c>
      <c r="G10" s="113"/>
      <c r="H10" s="114"/>
      <c r="I10" s="1763" t="s">
        <v>991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Чипровци</v>
      </c>
      <c r="C12" s="1792"/>
      <c r="D12" s="1793"/>
      <c r="E12" s="118" t="s">
        <v>985</v>
      </c>
      <c r="F12" s="1592" t="s">
        <v>1500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2" t="s">
        <v>2044</v>
      </c>
      <c r="F19" s="1833"/>
      <c r="G19" s="1833"/>
      <c r="H19" s="1834"/>
      <c r="I19" s="1838" t="s">
        <v>2045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90291</v>
      </c>
      <c r="K141" s="170">
        <f>SUM(K142:K149)</f>
        <v>0</v>
      </c>
      <c r="L141" s="1378">
        <f t="shared" si="29"/>
        <v>90291</v>
      </c>
      <c r="M141" s="7">
        <f t="shared" si="16"/>
        <v>1</v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>
        <v>90291</v>
      </c>
      <c r="K144" s="160">
        <v>0</v>
      </c>
      <c r="L144" s="296">
        <f t="shared" si="31"/>
        <v>90291</v>
      </c>
      <c r="M144" s="7">
        <f t="shared" si="16"/>
        <v>1</v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90291</v>
      </c>
      <c r="K168" s="214">
        <f t="shared" si="39"/>
        <v>0</v>
      </c>
      <c r="L168" s="211">
        <f t="shared" si="39"/>
        <v>90291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ДЕС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Чипровци</v>
      </c>
      <c r="C178" s="1792"/>
      <c r="D178" s="1793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2" t="s">
        <v>2046</v>
      </c>
      <c r="F182" s="1833"/>
      <c r="G182" s="1833"/>
      <c r="H182" s="1834"/>
      <c r="I182" s="1841" t="s">
        <v>2047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763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766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10811</v>
      </c>
      <c r="K189" s="277">
        <f t="shared" si="45"/>
        <v>0</v>
      </c>
      <c r="L189" s="274">
        <f t="shared" si="45"/>
        <v>10811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10811</v>
      </c>
      <c r="K191" s="299">
        <f t="shared" si="46"/>
        <v>0</v>
      </c>
      <c r="L191" s="296">
        <f t="shared" si="46"/>
        <v>10811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2165</v>
      </c>
      <c r="K195" s="277">
        <f t="shared" si="47"/>
        <v>0</v>
      </c>
      <c r="L195" s="274">
        <f t="shared" si="47"/>
        <v>2165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1257</v>
      </c>
      <c r="K196" s="285">
        <f t="shared" si="48"/>
        <v>0</v>
      </c>
      <c r="L196" s="282">
        <f t="shared" si="48"/>
        <v>1257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568</v>
      </c>
      <c r="K199" s="299">
        <f t="shared" si="48"/>
        <v>0</v>
      </c>
      <c r="L199" s="296">
        <f t="shared" si="48"/>
        <v>568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340</v>
      </c>
      <c r="K200" s="299">
        <f t="shared" si="48"/>
        <v>0</v>
      </c>
      <c r="L200" s="296">
        <f t="shared" si="48"/>
        <v>340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53255</v>
      </c>
      <c r="K204" s="277">
        <f t="shared" si="49"/>
        <v>0</v>
      </c>
      <c r="L204" s="311">
        <f t="shared" si="49"/>
        <v>53255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308</v>
      </c>
      <c r="K209" s="299">
        <f t="shared" si="50"/>
        <v>0</v>
      </c>
      <c r="L209" s="296">
        <f t="shared" si="50"/>
        <v>308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52947</v>
      </c>
      <c r="K211" s="324">
        <f t="shared" si="50"/>
        <v>0</v>
      </c>
      <c r="L211" s="321">
        <f t="shared" si="50"/>
        <v>52947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741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1686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1691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1688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1689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704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705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935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713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66231</v>
      </c>
      <c r="K301" s="399">
        <f t="shared" si="79"/>
        <v>0</v>
      </c>
      <c r="L301" s="396">
        <f t="shared" si="79"/>
        <v>66231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ДЕС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Чипровци</v>
      </c>
      <c r="C349" s="1792"/>
      <c r="D349" s="1793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4" t="s">
        <v>2048</v>
      </c>
      <c r="F353" s="1845"/>
      <c r="G353" s="1845"/>
      <c r="H353" s="1846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944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699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700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718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786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723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702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948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ДЕС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Чипровци</v>
      </c>
      <c r="C434" s="1792"/>
      <c r="D434" s="1793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2050</v>
      </c>
      <c r="F438" s="1833"/>
      <c r="G438" s="1833"/>
      <c r="H438" s="1834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24060</v>
      </c>
      <c r="K441" s="549">
        <f t="shared" si="103"/>
        <v>0</v>
      </c>
      <c r="L441" s="550">
        <f t="shared" si="103"/>
        <v>24060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-24060</v>
      </c>
      <c r="K442" s="556">
        <f t="shared" si="104"/>
        <v>0</v>
      </c>
      <c r="L442" s="557">
        <f>+L593</f>
        <v>-24060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ДЕС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Чипровци</v>
      </c>
      <c r="C450" s="1792"/>
      <c r="D450" s="1793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5" t="s">
        <v>2052</v>
      </c>
      <c r="F454" s="1836"/>
      <c r="G454" s="1836"/>
      <c r="H454" s="183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787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790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2026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793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800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952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957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958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959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960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-24060</v>
      </c>
      <c r="K520" s="582">
        <f t="shared" si="125"/>
        <v>0</v>
      </c>
      <c r="L520" s="579">
        <f t="shared" si="125"/>
        <v>-24060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>
        <v>-24060</v>
      </c>
      <c r="K523" s="586">
        <v>0</v>
      </c>
      <c r="L523" s="1389">
        <f t="shared" si="121"/>
        <v>-24060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962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963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964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965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974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979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852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-24060</v>
      </c>
      <c r="K593" s="667">
        <f t="shared" si="138"/>
        <v>0</v>
      </c>
      <c r="L593" s="663">
        <f t="shared" si="138"/>
        <v>-24060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7" t="s">
        <v>2063</v>
      </c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897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2062</v>
      </c>
      <c r="E599" s="672"/>
      <c r="F599" s="219" t="s">
        <v>899</v>
      </c>
      <c r="G599" s="1770" t="s">
        <v>2064</v>
      </c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900</v>
      </c>
      <c r="C600" s="1754"/>
      <c r="D600" s="673" t="s">
        <v>901</v>
      </c>
      <c r="E600" s="674"/>
      <c r="F600" s="675"/>
      <c r="G600" s="1755" t="s">
        <v>897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 t="s">
        <v>2061</v>
      </c>
      <c r="C601" s="1757"/>
      <c r="D601" s="676" t="s">
        <v>902</v>
      </c>
      <c r="E601" s="677" t="s">
        <v>2060</v>
      </c>
      <c r="F601" s="678">
        <v>878101238</v>
      </c>
      <c r="G601" s="679" t="s">
        <v>903</v>
      </c>
      <c r="H601" s="1758" t="s">
        <v>2065</v>
      </c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ДЕС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42916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Чипровци</v>
      </c>
      <c r="C613" s="1848"/>
      <c r="D613" s="1849"/>
      <c r="E613" s="411" t="s">
        <v>910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96</v>
      </c>
      <c r="F615" s="415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32" t="s">
        <v>2057</v>
      </c>
      <c r="F617" s="1833"/>
      <c r="G617" s="1833"/>
      <c r="H617" s="1834"/>
      <c r="I617" s="1841" t="s">
        <v>2058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6618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31.5">
      <c r="B622" s="1456"/>
      <c r="C622" s="1593">
        <f>+C621</f>
        <v>6618</v>
      </c>
      <c r="D622" s="1458" t="s">
        <v>607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763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766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10811</v>
      </c>
      <c r="K627" s="277">
        <f t="shared" si="141"/>
        <v>0</v>
      </c>
      <c r="L627" s="274">
        <f t="shared" si="141"/>
        <v>10811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>
        <v>10811</v>
      </c>
      <c r="K629" s="1426"/>
      <c r="L629" s="296">
        <f>I629+J629+K629</f>
        <v>10811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2165</v>
      </c>
      <c r="K633" s="277">
        <f t="shared" si="142"/>
        <v>0</v>
      </c>
      <c r="L633" s="274">
        <f t="shared" si="142"/>
        <v>2165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>
        <v>1257</v>
      </c>
      <c r="K634" s="1421"/>
      <c r="L634" s="282">
        <f aca="true" t="shared" si="144" ref="L634:L641">I634+J634+K634</f>
        <v>1257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>
        <v>568</v>
      </c>
      <c r="K637" s="1426"/>
      <c r="L637" s="296">
        <f t="shared" si="144"/>
        <v>568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>
        <v>340</v>
      </c>
      <c r="K638" s="1426"/>
      <c r="L638" s="296">
        <f t="shared" si="144"/>
        <v>340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53255</v>
      </c>
      <c r="K642" s="277">
        <f t="shared" si="145"/>
        <v>0</v>
      </c>
      <c r="L642" s="311">
        <f t="shared" si="145"/>
        <v>53255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>
        <v>308</v>
      </c>
      <c r="K647" s="1426"/>
      <c r="L647" s="296">
        <f t="shared" si="147"/>
        <v>308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>
        <v>52947</v>
      </c>
      <c r="K649" s="1434"/>
      <c r="L649" s="321">
        <f t="shared" si="147"/>
        <v>52947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741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1690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1691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1688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1689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704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705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935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713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713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66231</v>
      </c>
      <c r="K740" s="399">
        <f t="shared" si="173"/>
        <v>0</v>
      </c>
      <c r="L740" s="396">
        <f t="shared" si="173"/>
        <v>66231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2068</v>
      </c>
      <c r="I2" s="61"/>
    </row>
    <row r="3" spans="1:9" ht="12.75">
      <c r="A3" s="61" t="s">
        <v>728</v>
      </c>
      <c r="B3" s="61" t="s">
        <v>2066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2067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2" t="s">
        <v>2057</v>
      </c>
      <c r="M23" s="1833"/>
      <c r="N23" s="1833"/>
      <c r="O23" s="1834"/>
      <c r="P23" s="1841" t="s">
        <v>2058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763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741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1690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1691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1688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1689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704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705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935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713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713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2017-07-11T07:24:15Z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