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<sst xmlns="http://schemas.openxmlformats.org/spreadsheetml/2006/main" count="2853" uniqueCount="2071">
  <si>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</si>
  <si>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</si>
  <si>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</si>
  <si>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</si>
  <si>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</si>
  <si>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</si>
  <si>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</si>
  <si>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</si>
  <si>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</si>
  <si>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</si>
  <si>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</si>
  <si>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</si>
  <si>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</si>
  <si>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</si>
  <si>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</si>
  <si>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</si>
  <si>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</si>
  <si>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</si>
  <si>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</si>
  <si>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</si>
  <si>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</si>
  <si>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</si>
  <si>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</si>
  <si>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</si>
  <si>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</si>
  <si>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</si>
  <si>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</si>
  <si>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</si>
  <si>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</si>
  <si>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</si>
  <si>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</si>
  <si>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</si>
  <si>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</si>
  <si>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</si>
  <si>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</si>
  <si>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</si>
  <si>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</si>
  <si>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</si>
  <si>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</si>
  <si>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</si>
  <si>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</si>
  <si>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</si>
  <si>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</si>
  <si>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</si>
  <si>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</si>
  <si>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</si>
  <si>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</si>
  <si>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</si>
  <si>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</si>
  <si>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</si>
  <si>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</si>
  <si>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</si>
  <si>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</si>
  <si>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</si>
  <si>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</si>
  <si>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</si>
  <si>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</si>
  <si>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</si>
  <si>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</si>
  <si>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</si>
  <si>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</si>
  <si>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</si>
  <si>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</si>
  <si>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</si>
  <si>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</si>
  <si>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</si>
  <si>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</si>
  <si>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</si>
  <si>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</si>
  <si>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</si>
  <si>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</si>
  <si>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</si>
  <si>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</si>
  <si>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</si>
  <si>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</si>
  <si>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</si>
  <si>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</si>
  <si>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</si>
  <si>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</si>
  <si>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</si>
  <si>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</si>
  <si>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</si>
  <si>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</si>
  <si>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</si>
  <si>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</si>
  <si>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</si>
  <si>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</si>
  <si>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</si>
  <si>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</si>
  <si>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</si>
  <si>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</si>
  <si>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</si>
  <si>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</si>
  <si>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</si>
  <si>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</si>
  <si>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</si>
  <si>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</si>
  <si>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</si>
  <si>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</si>
  <si>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</si>
  <si>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</si>
  <si>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</si>
  <si>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</si>
  <si>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</si>
  <si>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</si>
  <si>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</si>
  <si>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</si>
  <si>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</si>
  <si>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</si>
  <si>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</si>
  <si>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</si>
  <si>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</si>
  <si>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</si>
  <si>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</si>
  <si>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</si>
  <si>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</si>
  <si>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</si>
  <si>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</si>
  <si>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</si>
  <si>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</si>
  <si>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</si>
  <si>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</si>
  <si>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</si>
  <si>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</si>
  <si>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</si>
  <si>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</si>
  <si>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</si>
  <si>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</si>
  <si>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</si>
  <si>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</si>
  <si>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</si>
  <si>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</si>
  <si>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</si>
  <si>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</si>
  <si>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</si>
  <si>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</si>
  <si>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</si>
  <si>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</si>
  <si>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</si>
  <si>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</si>
  <si>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</si>
  <si>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</si>
  <si>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</si>
  <si>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</si>
  <si>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</si>
  <si>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</si>
  <si>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</si>
  <si>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</si>
  <si>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</si>
  <si>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</si>
  <si>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</si>
  <si>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</si>
  <si>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</si>
  <si>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</si>
  <si>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</si>
  <si>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</si>
  <si>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</si>
  <si>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</si>
  <si>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</si>
  <si>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</si>
  <si>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</si>
  <si>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</si>
  <si>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</si>
  <si>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</si>
  <si>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</si>
  <si>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</si>
  <si>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</si>
  <si>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</si>
  <si>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</si>
  <si>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</si>
  <si>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</si>
  <si>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</si>
  <si>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</si>
  <si>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</si>
  <si>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</si>
  <si>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</si>
  <si>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</si>
  <si>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</si>
  <si>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</si>
  <si>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</si>
  <si>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</si>
  <si>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</si>
  <si>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</si>
  <si>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</si>
  <si>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</si>
  <si>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</si>
  <si>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</si>
  <si>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</si>
  <si>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</si>
  <si>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</si>
  <si>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</si>
  <si>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</si>
  <si>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</si>
  <si>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</si>
  <si>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</si>
  <si>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</si>
  <si>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</si>
  <si>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</si>
  <si>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</si>
  <si>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</si>
  <si>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</si>
  <si>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</si>
  <si>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</si>
  <si>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</si>
  <si>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</si>
  <si>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</si>
  <si>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</si>
  <si>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</si>
  <si>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</si>
  <si>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</si>
  <si>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</si>
  <si>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</si>
  <si>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</si>
  <si>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</si>
  <si>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</si>
  <si>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</si>
  <si>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</si>
  <si>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</si>
  <si>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</si>
  <si>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</si>
  <si>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</si>
  <si>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</si>
  <si>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</si>
  <si>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</si>
  <si>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</si>
  <si>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</si>
  <si>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</si>
  <si>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</si>
  <si>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</si>
  <si>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</si>
  <si>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</si>
  <si>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</si>
  <si>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</si>
  <si>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</si>
  <si>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</si>
  <si>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</si>
  <si>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</si>
  <si>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</si>
  <si>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</si>
  <si>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</si>
  <si>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</si>
  <si>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</si>
  <si>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</si>
  <si>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</si>
  <si>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</si>
  <si>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</si>
  <si>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</si>
  <si>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</si>
  <si>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</si>
  <si>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</si>
  <si>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</si>
  <si>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</si>
  <si>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</si>
  <si>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</si>
  <si>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</si>
  <si>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</si>
  <si>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</si>
  <si>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</si>
  <si>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</si>
  <si>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</si>
  <si>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</si>
  <si>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</si>
  <si>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</si>
  <si>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</si>
  <si>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</si>
  <si>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</si>
  <si>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</si>
  <si>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</si>
  <si>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</si>
  <si>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</si>
  <si>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</si>
  <si>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</si>
  <si>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</si>
  <si>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</si>
  <si>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</si>
  <si>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</si>
  <si>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</si>
  <si>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</si>
  <si>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</si>
  <si>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</si>
  <si>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</si>
  <si>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</si>
  <si>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</si>
  <si>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</si>
  <si>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</si>
  <si>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</si>
  <si>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</si>
  <si>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</si>
  <si>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</si>
  <si>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</si>
  <si>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</si>
  <si>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</si>
  <si>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</si>
  <si>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</si>
  <si>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</si>
  <si>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</si>
  <si>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</si>
  <si>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</si>
  <si>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</si>
  <si>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</si>
  <si>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</si>
  <si>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</si>
  <si>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</si>
  <si>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</si>
  <si>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</si>
  <si>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</si>
  <si>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</si>
  <si>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</si>
  <si>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</si>
  <si>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</si>
  <si>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</si>
  <si>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</si>
  <si>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</si>
  <si>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</si>
  <si>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</si>
  <si>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</si>
  <si>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</si>
  <si>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</si>
  <si>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</si>
  <si>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</si>
  <si>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</si>
  <si>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</si>
  <si>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</si>
  <si>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</si>
  <si>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</si>
  <si>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</si>
  <si>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</si>
  <si>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</si>
  <si>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</si>
  <si>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</si>
  <si>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</si>
  <si>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</si>
  <si>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</si>
  <si>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</si>
  <si>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</si>
  <si>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</si>
  <si>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</si>
  <si>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</si>
  <si>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</si>
  <si>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</si>
  <si>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</si>
  <si>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</si>
  <si>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</si>
  <si>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</si>
  <si>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</si>
  <si>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</si>
  <si>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</si>
  <si>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</si>
  <si>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</si>
  <si>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</si>
  <si>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</si>
  <si>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</si>
  <si>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</si>
  <si>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</si>
  <si>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</si>
  <si>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</si>
  <si>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</si>
  <si>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</si>
  <si>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</si>
  <si>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</si>
  <si>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</si>
  <si>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</si>
  <si>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</si>
  <si>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</si>
  <si>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</si>
  <si>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</si>
  <si>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</si>
  <si>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</si>
  <si>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</si>
  <si>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</si>
  <si>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</si>
  <si>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</si>
  <si>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</si>
  <si>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</si>
  <si>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</si>
  <si>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</si>
  <si>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</si>
  <si>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</si>
  <si>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</si>
  <si>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</si>
  <si>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</si>
  <si>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</si>
  <si>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</si>
  <si>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</si>
  <si>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</si>
  <si>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</si>
  <si>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</si>
  <si>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</si>
  <si>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</si>
  <si>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</si>
  <si>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</si>
  <si>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</si>
  <si>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</si>
  <si>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</si>
  <si>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</si>
  <si>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</si>
  <si>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</si>
  <si>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</si>
  <si>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</si>
  <si>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</si>
  <si>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</si>
  <si>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</si>
  <si>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</si>
  <si>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</si>
  <si>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</si>
  <si>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</si>
  <si>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</si>
  <si>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</si>
  <si>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</si>
  <si>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</si>
  <si>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</si>
  <si>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</si>
  <si>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</si>
  <si>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</si>
  <si>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</si>
  <si>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</si>
  <si>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</si>
  <si>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</si>
  <si>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</si>
  <si>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</si>
  <si>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</si>
  <si>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</si>
  <si>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</si>
  <si>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</si>
  <si>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</si>
  <si>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</si>
  <si>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</si>
  <si>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</si>
  <si>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</si>
  <si>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</si>
  <si>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</si>
  <si>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</si>
  <si>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</si>
  <si>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</si>
  <si>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</si>
  <si>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</si>
  <si>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</si>
  <si>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</si>
  <si>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</si>
  <si>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</si>
  <si>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</si>
  <si>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</si>
  <si>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</si>
  <si>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</si>
  <si>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</si>
  <si>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</si>
  <si>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</si>
  <si>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</si>
  <si>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</si>
  <si>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</si>
  <si>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</si>
  <si>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</si>
  <si>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</si>
  <si>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</si>
  <si>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</si>
  <si>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</si>
  <si>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</si>
  <si>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</si>
  <si>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</si>
  <si>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</si>
  <si>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</si>
  <si>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</si>
  <si>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</si>
  <si>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</si>
  <si>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</si>
  <si>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</si>
  <si>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</si>
  <si>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</si>
  <si>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</si>
  <si>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</si>
  <si>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</si>
  <si>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</si>
  <si>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</si>
  <si>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</si>
  <si>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</si>
  <si>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</si>
  <si>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</si>
  <si>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</si>
  <si>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</si>
  <si>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</si>
  <si>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</si>
  <si>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</si>
  <si>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</si>
  <si>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</si>
  <si>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</si>
  <si>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</si>
  <si>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</si>
  <si>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</si>
  <si>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</si>
  <si>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</si>
  <si>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</si>
  <si>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</si>
  <si>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</si>
  <si>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</si>
  <si>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</si>
  <si>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</si>
  <si>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</si>
  <si>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</si>
  <si>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</si>
  <si>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</si>
  <si>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</si>
  <si>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</si>
  <si>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</si>
  <si>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</si>
  <si>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</si>
  <si>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</si>
  <si>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</si>
  <si>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</si>
  <si>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</si>
  <si>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</si>
  <si>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</si>
  <si>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</si>
  <si>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</si>
  <si>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</si>
  <si>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</si>
  <si>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</si>
  <si>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</si>
  <si>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</si>
  <si>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</si>
  <si>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</si>
  <si>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</si>
  <si>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</si>
  <si>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</si>
  <si>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</si>
  <si>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</si>
  <si>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</si>
  <si>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</si>
  <si>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</si>
  <si>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</si>
  <si>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</si>
  <si>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</si>
  <si>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</si>
  <si>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</si>
  <si>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</si>
  <si>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</si>
  <si>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</si>
  <si>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</si>
  <si>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</si>
  <si>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</si>
  <si>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</si>
  <si>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</si>
  <si>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</si>
  <si>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</si>
  <si>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</si>
  <si>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</si>
  <si>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</si>
  <si>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</si>
  <si>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</si>
  <si>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</si>
  <si>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</si>
  <si>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</si>
  <si>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</si>
  <si>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</si>
  <si>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</si>
  <si>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</si>
  <si>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</si>
  <si>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</si>
  <si>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</si>
  <si>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</si>
  <si>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</si>
  <si>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</si>
  <si>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</si>
  <si>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</si>
  <si>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</si>
  <si>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</si>
  <si>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</si>
  <si>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</si>
  <si>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</si>
  <si>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</si>
  <si>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</si>
  <si>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</si>
  <si>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</si>
  <si>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</si>
  <si>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</si>
  <si>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</si>
  <si>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</si>
  <si>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</si>
  <si>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</si>
  <si>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</si>
  <si>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</si>
  <si>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</si>
  <si>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</si>
  <si>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</si>
  <si>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</si>
  <si>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</si>
  <si>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</si>
  <si>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</si>
  <si>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</si>
  <si>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</si>
  <si>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</si>
  <si>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</si>
  <si>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</si>
  <si>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</si>
  <si>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</si>
  <si>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</si>
  <si>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</si>
  <si>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</si>
  <si>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</si>
  <si>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</si>
  <si>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</si>
  <si>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</si>
  <si>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</si>
  <si>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</si>
  <si>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</si>
  <si>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</si>
  <si>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</si>
  <si>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</si>
  <si>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</si>
  <si>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</si>
  <si>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</si>
  <si>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</si>
  <si>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</si>
  <si>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</si>
  <si>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</si>
  <si>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</si>
  <si>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</si>
  <si>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</si>
  <si>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</si>
  <si>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</si>
  <si>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</si>
  <si>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</si>
  <si>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</si>
  <si>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</si>
  <si>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</si>
  <si>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</si>
  <si>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</si>
  <si>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</si>
  <si>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</si>
  <si>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</si>
  <si>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</si>
  <si>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</si>
  <si>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</si>
  <si>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</si>
  <si>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</si>
  <si>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</si>
  <si>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</si>
  <si>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</si>
  <si>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</si>
  <si>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</si>
  <si>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</si>
  <si>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</si>
  <si>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</si>
  <si>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</si>
  <si>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</si>
  <si>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</si>
  <si>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</si>
  <si>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</si>
  <si>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</si>
  <si>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</si>
  <si>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</si>
  <si>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</si>
  <si>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</si>
  <si>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</si>
  <si>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</si>
  <si>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</si>
  <si>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</si>
  <si>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</si>
  <si>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</si>
  <si>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</si>
  <si>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</si>
  <si>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</si>
  <si>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</si>
  <si>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</si>
  <si>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</si>
  <si>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</si>
  <si>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</si>
  <si>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</si>
  <si>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</si>
  <si>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</si>
  <si>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</si>
  <si>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</si>
  <si>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</si>
  <si>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</si>
  <si>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</si>
  <si>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</si>
  <si>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</si>
  <si>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</si>
  <si>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</si>
  <si>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</si>
  <si>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</si>
  <si>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</si>
  <si>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</si>
  <si>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</si>
  <si>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</si>
  <si>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</si>
  <si>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</si>
  <si>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</si>
  <si>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</si>
  <si>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</si>
  <si>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</si>
  <si>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</si>
  <si>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</si>
  <si>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</si>
  <si>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</si>
  <si>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</si>
  <si>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</si>
  <si>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</si>
  <si>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</si>
  <si>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</si>
  <si>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</si>
  <si>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</si>
  <si>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</si>
  <si>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</si>
  <si>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</si>
  <si>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</si>
  <si>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</si>
  <si>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</si>
  <si>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</si>
  <si>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</si>
  <si>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</si>
  <si>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</si>
  <si>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</si>
  <si>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</si>
  <si>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</si>
  <si>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</si>
  <si>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</si>
  <si>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</si>
  <si>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</si>
  <si>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</si>
  <si>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</si>
  <si>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</si>
  <si>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</si>
  <si>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</si>
  <si>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</si>
  <si>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</si>
  <si>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</si>
  <si>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</si>
  <si>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</si>
  <si>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</si>
  <si>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</si>
  <si>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</si>
  <si>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</si>
  <si>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</si>
  <si>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</si>
  <si>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</si>
  <si>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</si>
  <si>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</si>
  <si>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</si>
  <si>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</si>
  <si>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</si>
  <si>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</si>
  <si>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</si>
  <si>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</si>
  <si>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</si>
  <si>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</si>
  <si>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</si>
  <si>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</si>
  <si>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</si>
  <si>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</si>
  <si>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</si>
  <si>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</si>
  <si>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</si>
  <si>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</si>
  <si>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</si>
  <si>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</si>
  <si>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</si>
  <si>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</si>
  <si>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</si>
  <si>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</si>
  <si>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</si>
  <si>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</si>
  <si>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</si>
  <si>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</si>
  <si>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</si>
  <si>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</si>
  <si>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</si>
  <si>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</si>
  <si>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</si>
  <si>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</si>
  <si>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</si>
  <si>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</si>
  <si>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</si>
  <si>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</si>
  <si>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</si>
  <si>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</si>
  <si>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</si>
  <si>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</si>
  <si>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</si>
  <si>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</si>
  <si>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</si>
  <si>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</si>
  <si>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</si>
  <si>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</si>
  <si>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</si>
  <si>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</si>
  <si>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</si>
  <si>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</si>
  <si>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</si>
  <si>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</si>
  <si>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</si>
  <si>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</si>
  <si>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</si>
  <si>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</si>
  <si>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</si>
  <si>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</si>
  <si>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</si>
  <si>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</si>
  <si>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</si>
  <si>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</si>
  <si>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</si>
  <si>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</si>
  <si>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</si>
  <si>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</si>
  <si>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</si>
  <si>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</si>
  <si>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</si>
  <si>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</si>
  <si>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</si>
  <si>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</si>
  <si>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</si>
  <si>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</si>
  <si>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</si>
  <si>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</si>
  <si>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</si>
  <si>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</si>
  <si>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</si>
  <si>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</si>
  <si>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</si>
  <si>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</si>
  <si>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</si>
  <si>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</si>
  <si>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</si>
  <si>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</si>
  <si>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</si>
  <si>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</si>
  <si>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</si>
  <si>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</si>
  <si>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</si>
  <si>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</si>
  <si>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</si>
  <si>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</si>
  <si>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</si>
  <si>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</si>
  <si>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</si>
  <si>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</si>
  <si>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</si>
  <si>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</si>
  <si>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</si>
  <si>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</si>
  <si>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</si>
  <si>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</si>
  <si>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</si>
  <si>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</si>
  <si>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</si>
  <si>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</si>
  <si>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</si>
  <si>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</si>
  <si>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</si>
  <si>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</si>
  <si>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</si>
  <si>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</si>
  <si>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</si>
  <si>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</si>
  <si>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</si>
  <si>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</si>
  <si>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</si>
  <si>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</si>
  <si>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</si>
  <si>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</si>
  <si>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</si>
  <si>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</si>
  <si>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</si>
  <si>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</si>
  <si>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</si>
  <si>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</si>
  <si>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</si>
  <si>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</si>
  <si>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</si>
  <si>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</si>
  <si>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</si>
  <si>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</si>
  <si>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</si>
  <si>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</si>
  <si>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</si>
  <si>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</si>
  <si>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</si>
  <si>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</si>
  <si>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</si>
  <si>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</si>
  <si>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</si>
  <si>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</si>
  <si>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</si>
  <si>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</si>
  <si>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</si>
  <si>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</si>
  <si>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</si>
  <si>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</si>
  <si>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</si>
  <si>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</si>
  <si>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</si>
  <si>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</si>
  <si>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</si>
  <si>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</si>
  <si>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</si>
  <si>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</si>
  <si>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</si>
  <si>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</si>
  <si>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</si>
  <si>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</si>
  <si>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</si>
  <si>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</si>
  <si>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</si>
  <si>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</si>
  <si>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</si>
  <si>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</si>
  <si>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</si>
  <si>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</si>
  <si>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</si>
  <si>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</si>
  <si>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</si>
  <si>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</si>
  <si>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</si>
  <si>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</si>
  <si>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</si>
  <si>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</si>
  <si>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</si>
  <si>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</si>
  <si>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</si>
  <si>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</si>
  <si>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</si>
  <si>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</si>
  <si>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</si>
  <si>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</si>
  <si>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</si>
  <si>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</si>
  <si>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</si>
  <si>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</si>
  <si>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</si>
  <si>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</si>
  <si>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</si>
  <si>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</si>
  <si>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</si>
  <si>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</si>
  <si>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</si>
  <si>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</si>
  <si>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</si>
  <si>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</si>
  <si>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</si>
  <si>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</si>
  <si>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</si>
  <si>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</si>
  <si>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</si>
  <si>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</si>
  <si>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</si>
  <si>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</si>
  <si>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</si>
  <si>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</si>
  <si>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</si>
  <si>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</si>
  <si>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</si>
  <si>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</si>
  <si>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</si>
  <si>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</si>
  <si>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</si>
  <si>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</si>
  <si>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</si>
  <si>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</si>
  <si>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</si>
  <si>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</si>
  <si>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</si>
  <si>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</si>
  <si>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</si>
  <si>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</si>
  <si>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</si>
  <si>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</si>
  <si>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</si>
  <si>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</si>
  <si>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</si>
  <si>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</si>
  <si>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</si>
  <si>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</si>
  <si>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</si>
  <si>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</si>
  <si>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</si>
  <si>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</si>
  <si>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</si>
  <si>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</si>
  <si>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</si>
  <si>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</si>
  <si>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</si>
  <si>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</si>
  <si>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</si>
  <si>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</si>
  <si>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</si>
  <si>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</si>
  <si>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</si>
  <si>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</si>
  <si>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</si>
  <si>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</si>
  <si>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</si>
  <si>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</si>
  <si>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</si>
  <si>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</si>
  <si>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</si>
  <si>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</si>
  <si>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</si>
  <si>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</si>
  <si>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</si>
  <si>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</si>
  <si>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</si>
  <si>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</si>
  <si>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</si>
  <si>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</si>
  <si>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</si>
  <si>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</si>
  <si>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</si>
  <si>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</si>
  <si>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</si>
  <si>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</si>
  <si>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</si>
  <si>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</si>
  <si>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</si>
  <si>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</si>
  <si>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</si>
  <si>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</si>
  <si>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</si>
  <si>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</si>
  <si>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</si>
  <si>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</si>
  <si>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</si>
  <si>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</si>
  <si>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</si>
  <si>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</si>
  <si>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</si>
  <si>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</si>
  <si>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</si>
  <si>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</si>
  <si>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</si>
  <si>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</si>
  <si>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</si>
  <si>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</si>
  <si>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</si>
  <si>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</si>
  <si>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</si>
  <si>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</si>
  <si>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</si>
  <si>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</si>
  <si>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</si>
  <si>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</si>
  <si>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</si>
  <si>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</si>
  <si>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</si>
  <si>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</si>
  <si>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</si>
  <si>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</si>
  <si>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</si>
  <si>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</si>
  <si>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</si>
  <si>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</si>
  <si>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</si>
  <si>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</si>
  <si>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</si>
  <si>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</si>
  <si>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</si>
  <si>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</si>
  <si>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</si>
  <si>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</si>
  <si>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</si>
  <si>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</si>
  <si>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</si>
  <si>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</si>
  <si>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</si>
  <si>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</si>
  <si>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</si>
  <si>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</si>
  <si>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</si>
  <si>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</si>
  <si>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</si>
  <si>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</si>
  <si>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</si>
  <si>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</si>
  <si>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</si>
  <si>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</si>
  <si>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</si>
  <si>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</si>
  <si>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</si>
  <si>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</si>
  <si>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</si>
  <si>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</si>
  <si>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</si>
  <si>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</si>
  <si>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</si>
  <si>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</si>
  <si>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</si>
  <si>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</si>
  <si>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</si>
  <si>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</si>
  <si>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</si>
  <si>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</si>
  <si>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</si>
  <si>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</si>
  <si>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</si>
  <si>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</si>
  <si>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</si>
  <si>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</si>
  <si>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</si>
  <si>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</si>
  <si>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</si>
  <si>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</si>
  <si>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</si>
  <si>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</si>
  <si>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</si>
  <si>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</si>
  <si>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</si>
  <si>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</si>
  <si>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</si>
  <si>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</si>
  <si>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</si>
  <si>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</si>
  <si>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</si>
  <si>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</si>
  <si>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</si>
  <si>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</si>
  <si>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</si>
  <si>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</si>
  <si>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</si>
  <si>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</si>
  <si>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</si>
  <si>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</si>
  <si>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</si>
  <si>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</si>
  <si>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</si>
  <si>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</si>
  <si>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</si>
  <si>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</si>
  <si>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</si>
  <si>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</si>
  <si>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</si>
  <si>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</si>
  <si>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</si>
  <si>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</si>
  <si>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</si>
  <si>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</si>
  <si>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</si>
  <si>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</si>
  <si>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</si>
  <si>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</si>
  <si>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</si>
  <si>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</si>
  <si>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</si>
  <si>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</si>
  <si>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</si>
  <si>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</si>
  <si>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</si>
  <si>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</si>
  <si>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</si>
  <si>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</si>
  <si>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</si>
  <si>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</si>
  <si>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</si>
  <si>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</si>
  <si>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</si>
  <si>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</si>
  <si>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</si>
  <si>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</si>
  <si>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</si>
  <si>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</si>
  <si>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</si>
  <si>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</si>
  <si>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</si>
  <si>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</si>
  <si>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</si>
  <si>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</si>
  <si>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</si>
  <si>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</si>
  <si>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</si>
  <si>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</si>
  <si>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</si>
  <si>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</si>
  <si>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</si>
  <si>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</si>
  <si>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</si>
  <si>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</si>
  <si>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</si>
  <si>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</si>
  <si>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</si>
  <si>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</si>
  <si>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</si>
  <si>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</si>
  <si>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</si>
  <si>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</si>
  <si>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</si>
  <si>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</si>
  <si>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</si>
  <si>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</si>
  <si>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</si>
  <si>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</si>
  <si>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</si>
  <si>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</si>
  <si>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</si>
  <si>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</si>
  <si>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</si>
  <si>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</si>
  <si>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</si>
  <si>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</si>
  <si>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</si>
  <si>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</si>
  <si>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</si>
  <si>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</si>
  <si>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</si>
  <si>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</si>
  <si>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</si>
  <si>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</si>
  <si>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</si>
  <si>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</si>
  <si>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</si>
  <si>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</si>
  <si>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</si>
  <si>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</si>
  <si>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</si>
  <si>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</si>
  <si>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</si>
  <si>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</si>
  <si>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</si>
  <si>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</si>
  <si>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</si>
  <si>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</si>
  <si>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</si>
  <si>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</si>
  <si>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</si>
  <si>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</si>
  <si>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</si>
  <si>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</si>
  <si>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</si>
  <si>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</si>
  <si>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</si>
  <si>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</si>
  <si>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</si>
  <si>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</si>
  <si>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</si>
  <si>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</si>
  <si>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</si>
  <si>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</si>
  <si>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</si>
  <si>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</si>
  <si>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</si>
  <si>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</si>
  <si>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</si>
  <si>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</si>
  <si>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</si>
  <si>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</si>
  <si>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</si>
  <si>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</si>
  <si>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</si>
  <si>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</si>
  <si>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</si>
  <si>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</si>
  <si>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</si>
  <si>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</si>
  <si>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</si>
  <si>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</si>
  <si>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</si>
  <si>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</si>
  <si>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</si>
  <si>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</si>
  <si>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</si>
  <si>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</si>
  <si>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</si>
  <si>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</si>
  <si>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</si>
  <si>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</si>
  <si>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</si>
  <si>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</si>
  <si>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</si>
  <si>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</si>
  <si>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</si>
  <si>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</si>
  <si>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</si>
  <si>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</si>
  <si>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</si>
  <si>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</si>
  <si>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</si>
  <si>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</si>
  <si>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</si>
  <si>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</si>
  <si>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</si>
  <si>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</si>
  <si>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</si>
  <si>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</si>
  <si>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</si>
  <si>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</si>
  <si>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</si>
  <si>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</si>
  <si>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</si>
  <si>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</si>
  <si>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</si>
  <si>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</si>
  <si>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</si>
  <si>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</si>
  <si>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</si>
  <si>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</si>
  <si>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</si>
  <si>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</si>
  <si>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</si>
  <si>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</si>
  <si>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</si>
  <si>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</si>
  <si>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</si>
  <si>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</si>
  <si>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</si>
  <si>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</si>
  <si>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</si>
  <si>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</si>
  <si>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</si>
  <si>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</si>
  <si>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</si>
  <si>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</si>
  <si>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</si>
  <si>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</si>
  <si>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</si>
  <si>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</si>
  <si>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</si>
  <si>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</si>
  <si>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</si>
  <si>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</si>
  <si>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</si>
  <si>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</si>
  <si>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</si>
  <si>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</si>
  <si>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</si>
  <si>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</si>
  <si>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</si>
  <si>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</si>
  <si>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</si>
  <si>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</si>
  <si>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</si>
  <si>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</si>
  <si>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</si>
  <si>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</si>
  <si>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</si>
  <si>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</si>
  <si>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</si>
  <si>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</si>
  <si>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</si>
  <si>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</si>
  <si>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</si>
  <si>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</si>
  <si>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</si>
  <si>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</si>
  <si>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</si>
  <si>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</si>
  <si>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</si>
  <si>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</si>
  <si>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</si>
  <si>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</si>
  <si>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</si>
  <si>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</si>
  <si>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</si>
  <si>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</si>
  <si>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</si>
  <si>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</si>
  <si>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</si>
  <si>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</si>
  <si>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</si>
  <si>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</si>
  <si>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</si>
  <si>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</si>
  <si>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</si>
  <si>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</si>
  <si>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</si>
  <si>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</si>
  <si>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</si>
  <si>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</si>
  <si>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</si>
  <si>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</si>
  <si>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</si>
  <si>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</si>
  <si>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</si>
  <si>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</si>
  <si>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</si>
  <si>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</si>
  <si>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</si>
  <si>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</si>
  <si>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</si>
  <si>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</si>
  <si>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</si>
  <si>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</si>
  <si>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</si>
  <si>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</si>
  <si>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</si>
  <si>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</si>
  <si>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</si>
  <si>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</si>
  <si>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</si>
  <si>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</si>
  <si>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</si>
  <si>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</si>
  <si>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</si>
  <si>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</si>
  <si>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</si>
  <si>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</si>
  <si>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</si>
  <si>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</si>
  <si>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</si>
  <si>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</si>
  <si>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</si>
  <si>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</si>
  <si>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</si>
  <si>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</si>
  <si>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</si>
  <si>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</si>
  <si>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</si>
  <si>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</si>
  <si>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</si>
  <si>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</si>
  <si>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</si>
  <si>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</si>
  <si>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</si>
  <si>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</si>
  <si>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</si>
  <si>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</si>
  <si>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</si>
  <si>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</si>
  <si>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</si>
  <si>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</si>
  <si>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</si>
  <si>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</si>
  <si>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</si>
  <si>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</si>
  <si>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</si>
  <si>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</si>
  <si>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</si>
  <si>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</si>
  <si>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</si>
  <si>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</si>
  <si>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</si>
  <si>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</si>
  <si>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</si>
  <si>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</si>
  <si>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</si>
  <si>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</si>
  <si>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</si>
  <si>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</si>
  <si>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</si>
  <si>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</si>
  <si>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</si>
  <si>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</si>
  <si>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</si>
  <si>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</si>
  <si>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</si>
  <si>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</si>
  <si>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</si>
  <si>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</si>
  <si>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</si>
  <si>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</si>
  <si>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</si>
  <si>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</si>
  <si>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</si>
  <si>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</si>
  <si>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</si>
  <si>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</si>
  <si>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</si>
  <si>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</si>
  <si>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</si>
  <si>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</si>
  <si>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</si>
  <si>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</si>
  <si>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</si>
  <si>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</si>
  <si>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</si>
  <si>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</si>
  <si>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</si>
  <si>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</si>
  <si>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</si>
  <si>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</si>
  <si>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</si>
  <si>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</si>
  <si>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</si>
  <si>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</si>
  <si>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</si>
  <si>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</si>
  <si>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</si>
  <si>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</si>
  <si>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</si>
  <si>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</si>
  <si>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</si>
  <si>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</si>
  <si>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</si>
  <si>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</si>
  <si>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</si>
  <si>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</si>
  <si>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</si>
  <si>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</si>
  <si>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</si>
  <si>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</si>
  <si>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</si>
  <si>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</si>
  <si>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</si>
  <si>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</si>
  <si>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</si>
  <si>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</si>
  <si>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</si>
  <si>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</si>
  <si>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</si>
  <si>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</si>
  <si>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</si>
  <si>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</si>
  <si>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</si>
  <si>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</si>
  <si>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</si>
  <si>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</si>
  <si>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</si>
  <si>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</si>
  <si>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</si>
  <si>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</si>
  <si>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</si>
  <si>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</si>
  <si>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</si>
  <si>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</si>
  <si>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</si>
  <si>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</si>
  <si>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</si>
  <si>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</si>
  <si>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</si>
  <si>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</si>
  <si>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</si>
  <si>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</si>
  <si>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</si>
  <si>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</si>
  <si>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</si>
  <si>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</si>
  <si>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</si>
  <si>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</si>
  <si>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</si>
  <si>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</si>
  <si>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</si>
  <si>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</si>
  <si>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</si>
  <si>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</si>
  <si>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</si>
  <si>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</si>
  <si>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</si>
  <si>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</si>
  <si>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</si>
  <si>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</si>
  <si>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</si>
  <si>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</si>
  <si>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</si>
  <si>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</si>
  <si>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</si>
  <si>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</si>
  <si>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</si>
  <si>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</si>
  <si>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</si>
  <si>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</si>
  <si>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</si>
  <si>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</si>
  <si>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</si>
  <si>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</si>
  <si>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</si>
  <si>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</si>
  <si>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</si>
  <si>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</si>
  <si>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</si>
  <si>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</si>
  <si>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</si>
  <si>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</si>
  <si>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</si>
  <si>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</si>
  <si>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</si>
  <si>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</si>
  <si>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</si>
  <si>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</si>
  <si>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</si>
  <si>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</si>
  <si>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</si>
  <si>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</si>
  <si>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</si>
  <si>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</si>
  <si>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</si>
  <si>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</si>
  <si>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</si>
  <si>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</si>
  <si>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</si>
  <si>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</si>
  <si>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</si>
  <si>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</si>
  <si>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</si>
  <si>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</si>
  <si>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</si>
  <si>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</si>
  <si>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</si>
  <si>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</si>
  <si>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</si>
  <si>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</si>
  <si>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</si>
  <si>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</si>
  <si>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</si>
  <si>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</si>
  <si>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</si>
  <si>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</si>
  <si>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</si>
  <si>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</si>
  <si>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</si>
  <si>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</si>
  <si>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</si>
  <si>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</si>
  <si>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</si>
  <si>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</si>
  <si>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</si>
  <si>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</si>
  <si>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</si>
  <si>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</si>
  <si>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</si>
  <si>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</si>
  <si>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</si>
  <si>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</si>
  <si>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</si>
  <si>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</si>
  <si>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</si>
  <si>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</si>
  <si>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</si>
  <si>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</si>
  <si>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</si>
  <si>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</si>
  <si>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</si>
  <si>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</si>
  <si>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</si>
  <si>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</si>
  <si>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</si>
  <si>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</si>
  <si>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</si>
  <si>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</si>
  <si>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</si>
  <si>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</si>
  <si>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</si>
  <si>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</si>
  <si>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</si>
  <si>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</si>
  <si>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</si>
  <si>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</si>
  <si>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</si>
  <si>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</si>
  <si>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</si>
  <si>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</si>
  <si>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</si>
  <si>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</si>
  <si>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</si>
  <si>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</si>
  <si>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</si>
  <si>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</si>
  <si>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</si>
  <si>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</si>
  <si>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</si>
  <si>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</si>
  <si>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</si>
  <si>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</si>
  <si>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</si>
  <si>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</si>
  <si>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</si>
  <si>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</si>
  <si>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</si>
  <si>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</si>
  <si>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</si>
  <si>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</si>
  <si>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</si>
  <si>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</si>
  <si>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</si>
  <si>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</si>
  <si>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</si>
  <si>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</si>
  <si>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</si>
  <si>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</si>
  <si>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</si>
  <si>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</si>
  <si>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</si>
  <si>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</si>
  <si>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</si>
  <si>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</si>
  <si>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</si>
  <si>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</si>
  <si>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</si>
  <si>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</si>
  <si>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</si>
  <si>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</si>
  <si>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</si>
  <si>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</si>
  <si>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</si>
  <si>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</si>
  <si>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</si>
  <si>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</si>
  <si>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</si>
  <si>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</si>
  <si>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</si>
  <si>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</si>
  <si>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</si>
  <si>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</si>
  <si>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</si>
  <si>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</si>
  <si>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</si>
  <si>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</si>
  <si>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</si>
  <si>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</si>
  <si>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</si>
  <si>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</si>
  <si>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</si>
  <si>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</si>
  <si>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</si>
  <si>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</si>
  <si>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</si>
  <si>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</si>
  <si>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</si>
  <si>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</si>
  <si>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</si>
  <si>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</si>
  <si>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</si>
  <si>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</si>
  <si>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</si>
  <si>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</si>
  <si>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</si>
  <si>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</si>
  <si>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</si>
  <si>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</si>
  <si>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</si>
  <si>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</si>
  <si>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</si>
  <si>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</si>
  <si>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</si>
  <si>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</si>
  <si>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</si>
  <si>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</si>
  <si>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</si>
  <si>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</si>
  <si>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</si>
  <si>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</si>
  <si>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</si>
  <si>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</si>
  <si>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</si>
  <si>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</si>
  <si>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</si>
  <si>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</si>
  <si>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</si>
  <si>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</si>
  <si>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</si>
  <si>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</si>
  <si>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</si>
  <si>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</si>
  <si>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</si>
  <si>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</si>
  <si>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</si>
  <si>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</si>
  <si>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</si>
  <si>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</si>
  <si>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</si>
  <si>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</si>
  <si>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</si>
  <si>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</si>
  <si>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</si>
  <si>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</si>
  <si>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</si>
  <si>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</si>
  <si>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</si>
  <si>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</si>
  <si>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</si>
  <si>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</si>
  <si>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</si>
  <si>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</si>
  <si>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</si>
  <si>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</si>
  <si>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</si>
  <si>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</si>
  <si>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</si>
  <si>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</si>
  <si>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</si>
  <si>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</si>
  <si>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</si>
  <si>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</si>
  <si>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</si>
  <si>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</si>
  <si>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</si>
  <si>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</si>
  <si>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</si>
  <si>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</si>
  <si>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</si>
  <si>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</si>
  <si>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</si>
  <si>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</si>
  <si>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</si>
  <si>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</si>
  <si>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</si>
  <si>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</si>
  <si>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</si>
  <si>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</si>
  <si>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</si>
  <si>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</si>
  <si>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</si>
  <si>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</si>
  <si>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</si>
  <si>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</si>
  <si>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</si>
  <si>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</si>
  <si>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</si>
  <si>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</si>
  <si>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</si>
  <si>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</si>
  <si>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</si>
  <si>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</si>
  <si>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</si>
  <si>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</si>
  <si>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</si>
  <si>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</si>
  <si>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</si>
  <si>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</si>
  <si>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</si>
  <si>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</si>
  <si>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</si>
  <si>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</si>
  <si>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</si>
  <si>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</si>
  <si>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</si>
  <si>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</si>
  <si>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</si>
  <si>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</si>
  <si>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</si>
  <si>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</si>
  <si>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</si>
  <si>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</si>
  <si>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</si>
  <si>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</si>
  <si>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</si>
  <si>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</si>
  <si>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</si>
  <si>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</si>
  <si>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</si>
  <si>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</si>
  <si>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</si>
  <si>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</si>
  <si>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</si>
  <si>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</si>
  <si>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</si>
  <si>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</si>
  <si>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</si>
  <si>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</si>
  <si>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</si>
  <si>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</si>
  <si>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</si>
  <si>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</si>
  <si>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</si>
  <si>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</si>
  <si>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</si>
  <si>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</si>
  <si>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</si>
  <si>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</si>
  <si>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</si>
  <si>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</si>
  <si>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</si>
  <si>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</si>
  <si>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</si>
  <si>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</si>
  <si>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</si>
  <si>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</si>
  <si>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</si>
  <si>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</si>
  <si>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</si>
  <si>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</si>
  <si>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</si>
  <si>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</si>
  <si>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</si>
  <si>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</si>
  <si>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</si>
  <si>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</si>
  <si>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</si>
  <si>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</si>
  <si>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</si>
  <si>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</si>
  <si>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</si>
  <si>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</si>
  <si>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</si>
  <si>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</si>
  <si>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</si>
  <si>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</si>
  <si>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</si>
  <si>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</si>
  <si>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</si>
  <si>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</si>
  <si>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</si>
  <si>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</si>
  <si>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</si>
  <si>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</si>
  <si>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</si>
  <si>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</si>
  <si>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</si>
  <si>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</si>
  <si>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</si>
  <si>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</si>
  <si>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</si>
  <si>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</si>
  <si>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</si>
  <si>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</si>
  <si>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</si>
  <si>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</si>
  <si>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</si>
  <si>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</si>
  <si>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</si>
  <si>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</si>
  <si>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</si>
  <si>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</si>
  <si>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</si>
  <si>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</si>
  <si>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</si>
  <si>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</si>
  <si>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</si>
  <si>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</si>
  <si>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</si>
  <si>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</si>
  <si>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</si>
  <si>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</si>
  <si>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</si>
  <si>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</si>
  <si>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</si>
  <si>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</si>
  <si>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</si>
  <si>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</si>
  <si>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</si>
  <si>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</si>
  <si>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</si>
  <si>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</si>
  <si>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</si>
  <si>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</si>
  <si>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</si>
  <si>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</si>
  <si>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</si>
  <si>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</si>
  <si>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</si>
  <si>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</si>
  <si>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</si>
  <si>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</si>
  <si>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</si>
  <si>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</si>
  <si>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</si>
  <si>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</si>
  <si>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</si>
  <si>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</si>
  <si>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</si>
  <si>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</si>
  <si>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</si>
  <si>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</si>
  <si>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</si>
  <si>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</si>
  <si>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</si>
  <si>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</si>
  <si>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</si>
  <si>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</si>
  <si>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</si>
  <si>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</si>
  <si>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</si>
  <si>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</si>
  <si>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</si>
  <si>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</si>
  <si>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</si>
  <si>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</si>
  <si>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</si>
  <si>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</si>
  <si>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</si>
  <si>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</si>
  <si>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</si>
  <si>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</si>
  <si>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</si>
  <si>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</si>
  <si>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</si>
  <si>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</si>
  <si>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</si>
  <si>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</si>
  <si>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</si>
  <si>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</si>
  <si>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</si>
  <si>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</si>
  <si>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</si>
  <si>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</si>
  <si>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</si>
  <si>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</si>
  <si>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</si>
  <si>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</si>
  <si>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</si>
  <si>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</si>
  <si>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</si>
  <si>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</si>
  <si>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</si>
  <si>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</si>
  <si>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</si>
  <si>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</si>
  <si>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</si>
  <si>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</si>
  <si>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</si>
  <si>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</si>
  <si>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</si>
  <si>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</si>
  <si>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</si>
  <si>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</si>
  <si>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</si>
  <si>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</si>
  <si>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</si>
  <si>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</si>
  <si>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</si>
  <si>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</si>
  <si>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</si>
  <si>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</si>
  <si>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</si>
  <si>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</si>
  <si>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</si>
  <si>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</si>
  <si>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</si>
  <si>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</si>
  <si>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</si>
  <si>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</si>
  <si>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</si>
  <si>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</si>
  <si>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</si>
  <si>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</si>
  <si>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</si>
  <si>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</si>
  <si>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</si>
  <si>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</si>
  <si>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</si>
  <si>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</si>
  <si>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</si>
  <si>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</si>
  <si>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</si>
  <si>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</si>
  <si>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</si>
  <si>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</si>
  <si>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</si>
  <si>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</si>
  <si>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</si>
  <si>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</si>
  <si>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</si>
  <si>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</si>
  <si>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</si>
  <si>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</si>
  <si>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</si>
  <si>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</si>
  <si>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</si>
  <si>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</si>
  <si>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</si>
  <si>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</si>
  <si>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</si>
  <si>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</si>
  <si>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</si>
  <si>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</si>
  <si>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</si>
  <si>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</si>
  <si>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</si>
  <si>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</si>
  <si>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</si>
  <si>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</si>
  <si>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</si>
  <si>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</si>
  <si>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</si>
  <si>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</si>
  <si>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</si>
  <si>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</si>
  <si>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</si>
  <si>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</si>
  <si>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</si>
  <si>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</si>
  <si>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</si>
  <si>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</si>
  <si>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</si>
  <si>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</si>
  <si>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</si>
  <si>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09554/28-28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</si>
  <si>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</si>
  <si>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</si>
  <si>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</si>
  <si>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</si>
  <si>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</si>
  <si>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b744</t>
  </si>
  <si>
    <t>d622</t>
  </si>
  <si>
    <t>c922</t>
  </si>
  <si>
    <t>13.10.2017 г.</t>
  </si>
  <si>
    <t>Община Чипровци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</si>
</sst>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Чипровци</v>
      </c>
      <c r="C2" s="1677"/>
      <c r="D2" s="1678"/>
      <c r="E2" s="1021"/>
      <c r="F2" s="1022">
        <f>+OTCHET!H9</f>
        <v>0</v>
      </c>
      <c r="G2" s="1023" t="str">
        <f>+OTCHET!F12</f>
        <v>6210</v>
      </c>
      <c r="H2" s="1024"/>
      <c r="I2" s="1679" t="str">
        <f>+OTCHET!H603</f>
        <v>www.chiprovtci.bg</v>
      </c>
      <c r="J2" s="1680"/>
      <c r="K2" s="1015"/>
      <c r="L2" s="1681" t="str">
        <f>OTCHET!H601</f>
        <v>chiprovci@mail.bg</v>
      </c>
      <c r="M2" s="1682"/>
      <c r="N2" s="1683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451454</v>
      </c>
      <c r="J42" s="1116">
        <f>+IF(OR($P$2=98,$P$2=42,$P$2=96,$P$2=97),$Q42,0)</f>
        <v>133867</v>
      </c>
      <c r="K42" s="1097"/>
      <c r="L42" s="1116">
        <f>+IF($P$2=33,$Q42,0)</f>
        <v>0</v>
      </c>
      <c r="M42" s="1097"/>
      <c r="N42" s="1117">
        <f>+ROUND(+G42+J42+L42,0)</f>
        <v>133867</v>
      </c>
      <c r="O42" s="1099"/>
      <c r="P42" s="1115">
        <f>+ROUND(+SUM(OTCHET!E144:E149)+SUM(OTCHET!E162:E167),0)</f>
        <v>451454</v>
      </c>
      <c r="Q42" s="1116">
        <f>+ROUND(+SUM(OTCHET!L144:L149)+SUM(OTCHET!L162:L167),0)</f>
        <v>133867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451454</v>
      </c>
      <c r="J45" s="1128">
        <f>+ROUND(+SUM(J41:J44),0)</f>
        <v>133867</v>
      </c>
      <c r="K45" s="1097"/>
      <c r="L45" s="1128">
        <f>+ROUND(+SUM(L41:L44),0)</f>
        <v>0</v>
      </c>
      <c r="M45" s="1097"/>
      <c r="N45" s="1129">
        <f>+ROUND(+SUM(N41:N44),0)</f>
        <v>133867</v>
      </c>
      <c r="O45" s="1099"/>
      <c r="P45" s="1127">
        <f>+ROUND(+SUM(P41:P44),0)</f>
        <v>451454</v>
      </c>
      <c r="Q45" s="1128">
        <f>+ROUND(+SUM(Q41:Q44),0)</f>
        <v>133867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451454</v>
      </c>
      <c r="J47" s="1202">
        <f>+ROUND(J22+J27+J34+J39+J45,0)</f>
        <v>133867</v>
      </c>
      <c r="K47" s="1097"/>
      <c r="L47" s="1202">
        <f>+ROUND(L22+L27+L34+L39+L45,0)</f>
        <v>0</v>
      </c>
      <c r="M47" s="1097"/>
      <c r="N47" s="1203">
        <f>+ROUND(N22+N27+N34+N39+N45,0)</f>
        <v>133867</v>
      </c>
      <c r="O47" s="1204"/>
      <c r="P47" s="1201">
        <f>+ROUND(P22+P27+P34+P39+P45,0)</f>
        <v>451454</v>
      </c>
      <c r="Q47" s="1202">
        <f>+ROUND(Q22+Q27+Q34+Q39+Q45,0)</f>
        <v>133867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115002</v>
      </c>
      <c r="J50" s="1104">
        <f>+IF(OR($P$2=98,$P$2=42,$P$2=96,$P$2=97),$Q50,0)</f>
        <v>85815</v>
      </c>
      <c r="K50" s="1097"/>
      <c r="L50" s="1104">
        <f>+IF($P$2=33,$Q50,0)</f>
        <v>0</v>
      </c>
      <c r="M50" s="1097"/>
      <c r="N50" s="1134">
        <f>+ROUND(+G50+J50+L50,0)</f>
        <v>85815</v>
      </c>
      <c r="O50" s="1099"/>
      <c r="P50" s="1103">
        <f>+ROUND(OTCHET!E204-SUM(OTCHET!E216:E218)+OTCHET!E271+IF(+OR(OTCHET!$F$12=5500,OTCHET!$F$12=5600),0,+OTCHET!E297),0)</f>
        <v>115002</v>
      </c>
      <c r="Q50" s="1104">
        <f>+ROUND(OTCHET!L204-SUM(OTCHET!L216:L218)+OTCHET!L271+IF(+OR(OTCHET!$F$12=5500,OTCHET!$F$12=5600),0,+OTCHET!L297),0)</f>
        <v>85815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30900</v>
      </c>
      <c r="J53" s="1122">
        <f>+IF(OR($P$2=98,$P$2=42,$P$2=96,$P$2=97),$Q53,0)</f>
        <v>15999</v>
      </c>
      <c r="K53" s="1097"/>
      <c r="L53" s="1122">
        <f>+IF($P$2=33,$Q53,0)</f>
        <v>0</v>
      </c>
      <c r="M53" s="1097"/>
      <c r="N53" s="1123">
        <f>+ROUND(+G53+J53+L53,0)</f>
        <v>15999</v>
      </c>
      <c r="O53" s="1099"/>
      <c r="P53" s="1121">
        <f>+ROUND(OTCHET!E186+OTCHET!E189,0)</f>
        <v>30900</v>
      </c>
      <c r="Q53" s="1122">
        <f>+ROUND(OTCHET!L186+OTCHET!L189,0)</f>
        <v>15999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7484</v>
      </c>
      <c r="J54" s="1122">
        <f>+IF(OR($P$2=98,$P$2=42,$P$2=96,$P$2=97),$Q54,0)</f>
        <v>3389</v>
      </c>
      <c r="K54" s="1097"/>
      <c r="L54" s="1122">
        <f>+IF($P$2=33,$Q54,0)</f>
        <v>0</v>
      </c>
      <c r="M54" s="1097"/>
      <c r="N54" s="1123">
        <f>+ROUND(+G54+J54+L54,0)</f>
        <v>3389</v>
      </c>
      <c r="O54" s="1099"/>
      <c r="P54" s="1121">
        <f>+ROUND(OTCHET!E195+OTCHET!E203,0)</f>
        <v>7484</v>
      </c>
      <c r="Q54" s="1122">
        <f>+ROUND(OTCHET!L195+OTCHET!L203,0)</f>
        <v>3389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153386</v>
      </c>
      <c r="J55" s="1210">
        <f>+ROUND(+SUM(J50:J54),0)</f>
        <v>105203</v>
      </c>
      <c r="K55" s="1097"/>
      <c r="L55" s="1210">
        <f>+ROUND(+SUM(L50:L54),0)</f>
        <v>0</v>
      </c>
      <c r="M55" s="1097"/>
      <c r="N55" s="1211">
        <f>+ROUND(+SUM(N50:N54),0)</f>
        <v>105203</v>
      </c>
      <c r="O55" s="1099"/>
      <c r="P55" s="1209">
        <f>+ROUND(+SUM(P50:P54),0)</f>
        <v>153386</v>
      </c>
      <c r="Q55" s="1210">
        <f>+ROUND(+SUM(Q50:Q54),0)</f>
        <v>105203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298068</v>
      </c>
      <c r="J58" s="1122">
        <f>+IF(OR($P$2=98,$P$2=42,$P$2=96,$P$2=97),$Q58,0)</f>
        <v>57266</v>
      </c>
      <c r="K58" s="1097"/>
      <c r="L58" s="1122">
        <f>+IF($P$2=33,$Q58,0)</f>
        <v>0</v>
      </c>
      <c r="M58" s="1097"/>
      <c r="N58" s="1123">
        <f>+ROUND(+G58+J58+L58,0)</f>
        <v>57266</v>
      </c>
      <c r="O58" s="1099"/>
      <c r="P58" s="1121">
        <f>+ROUND(+OTCHET!E275+OTCHET!E276,0)</f>
        <v>298068</v>
      </c>
      <c r="Q58" s="1122">
        <f>+ROUND(+OTCHET!L275+OTCHET!L276,0)</f>
        <v>57266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298068</v>
      </c>
      <c r="J62" s="1210">
        <f>+ROUND(+SUM(J57:J60),0)</f>
        <v>57266</v>
      </c>
      <c r="K62" s="1097"/>
      <c r="L62" s="1210">
        <f>+ROUND(+SUM(L57:L60),0)</f>
        <v>0</v>
      </c>
      <c r="M62" s="1097"/>
      <c r="N62" s="1211">
        <f>+ROUND(+SUM(N57:N60),0)</f>
        <v>57266</v>
      </c>
      <c r="O62" s="1099"/>
      <c r="P62" s="1209">
        <f>+ROUND(+SUM(P57:P60),0)</f>
        <v>298068</v>
      </c>
      <c r="Q62" s="1210">
        <f>+ROUND(+SUM(Q57:Q60),0)</f>
        <v>57266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451454</v>
      </c>
      <c r="J76" s="1235">
        <f>+ROUND(J55+J62+J66+J70+J74,0)</f>
        <v>162469</v>
      </c>
      <c r="K76" s="1097"/>
      <c r="L76" s="1235">
        <f>+ROUND(L55+L62+L66+L70+L74,0)</f>
        <v>0</v>
      </c>
      <c r="M76" s="1097"/>
      <c r="N76" s="1236">
        <f>+ROUND(N55+N62+N66+N70+N74,0)</f>
        <v>162469</v>
      </c>
      <c r="O76" s="1099"/>
      <c r="P76" s="1233">
        <f>+ROUND(P55+P62+P66+P70+P74,0)</f>
        <v>451454</v>
      </c>
      <c r="Q76" s="1234">
        <f>+ROUND(Q55+Q62+Q66+Q70+Q74,0)</f>
        <v>162469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9388</v>
      </c>
      <c r="K78" s="1097"/>
      <c r="L78" s="1110">
        <f>+IF($P$2=33,$Q78,0)</f>
        <v>0</v>
      </c>
      <c r="M78" s="1097"/>
      <c r="N78" s="1111">
        <f>+ROUND(+G78+J78+L78,0)</f>
        <v>9388</v>
      </c>
      <c r="O78" s="1099"/>
      <c r="P78" s="1109">
        <f>+ROUND(OTCHET!E415,0)</f>
        <v>0</v>
      </c>
      <c r="Q78" s="1110">
        <f>+ROUND(OTCHET!L415,0)</f>
        <v>9388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9388</v>
      </c>
      <c r="K80" s="1097"/>
      <c r="L80" s="1244">
        <f>+ROUND(L78+L79,0)</f>
        <v>0</v>
      </c>
      <c r="M80" s="1097"/>
      <c r="N80" s="1245">
        <f>+ROUND(N78+N79,0)</f>
        <v>9388</v>
      </c>
      <c r="O80" s="1099"/>
      <c r="P80" s="1243">
        <f>+ROUND(P78+P79,0)</f>
        <v>0</v>
      </c>
      <c r="Q80" s="1244">
        <f>+ROUND(Q78+Q79,0)</f>
        <v>9388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-19214</v>
      </c>
      <c r="K82" s="1097"/>
      <c r="L82" s="1257">
        <f>+ROUND(L47,0)-ROUND(L76,0)+ROUND(L80,0)</f>
        <v>0</v>
      </c>
      <c r="M82" s="1097"/>
      <c r="N82" s="1258">
        <f>+ROUND(N47,0)-ROUND(N76,0)+ROUND(N80,0)</f>
        <v>-19214</v>
      </c>
      <c r="O82" s="1259"/>
      <c r="P82" s="1256">
        <f>+ROUND(P47,0)-ROUND(P76,0)+ROUND(P80,0)</f>
        <v>0</v>
      </c>
      <c r="Q82" s="1257">
        <f>+ROUND(Q47,0)-ROUND(Q76,0)+ROUND(Q80,0)</f>
        <v>-19214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19214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19214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19214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19214</v>
      </c>
      <c r="K122" s="1097"/>
      <c r="L122" s="1122">
        <f>+IF($P$2=33,$Q122,0)</f>
        <v>0</v>
      </c>
      <c r="M122" s="1097"/>
      <c r="N122" s="1123">
        <f>+ROUND(+G122+J122+L122,0)</f>
        <v>19214</v>
      </c>
      <c r="O122" s="1099"/>
      <c r="P122" s="1121">
        <f>+ROUND(OTCHET!E520,0)</f>
        <v>0</v>
      </c>
      <c r="Q122" s="1122">
        <f>+ROUND(OTCHET!L520,0)</f>
        <v>19214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19214</v>
      </c>
      <c r="K125" s="1097"/>
      <c r="L125" s="1244">
        <f>+ROUND(+SUM(L121:L124),0)</f>
        <v>0</v>
      </c>
      <c r="M125" s="1097"/>
      <c r="N125" s="1245">
        <f>+ROUND(+SUM(N121:N124),0)</f>
        <v>19214</v>
      </c>
      <c r="O125" s="1099"/>
      <c r="P125" s="1243">
        <f>+ROUND(+SUM(P121:P124),0)</f>
        <v>0</v>
      </c>
      <c r="Q125" s="1244">
        <f>+ROUND(+SUM(Q121:Q124),0)</f>
        <v>19214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13.10.2017 г.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451454</v>
      </c>
      <c r="F22" s="764">
        <f>+F23+F25+F36+F37</f>
        <v>133867</v>
      </c>
      <c r="G22" s="765">
        <f>+G23+G25+G36+G37</f>
        <v>0</v>
      </c>
      <c r="H22" s="766">
        <f>+H23+H25+H36+H37</f>
        <v>133867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451454</v>
      </c>
      <c r="F37" s="840">
        <f t="shared" si="0"/>
        <v>133867</v>
      </c>
      <c r="G37" s="841">
        <f>OTCHET!I141+OTCHET!I150+OTCHET!I159</f>
        <v>0</v>
      </c>
      <c r="H37" s="842">
        <f>OTCHET!J141+OTCHET!J150+OTCHET!J159</f>
        <v>133867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451454</v>
      </c>
      <c r="F38" s="848">
        <f>SUM(F39:F53)-F44-F46-F51-F52</f>
        <v>162469</v>
      </c>
      <c r="G38" s="849">
        <f>SUM(G39:G53)-G44-G46-G51-G52</f>
        <v>0</v>
      </c>
      <c r="H38" s="850">
        <f>SUM(H39:H53)-H44-H46-H51-H52</f>
        <v>162469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30900</v>
      </c>
      <c r="F40" s="816">
        <f t="shared" si="1"/>
        <v>15999</v>
      </c>
      <c r="G40" s="817">
        <f>OTCHET!I189</f>
        <v>0</v>
      </c>
      <c r="H40" s="818">
        <f>OTCHET!J189</f>
        <v>15999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7484</v>
      </c>
      <c r="F41" s="816">
        <f t="shared" si="1"/>
        <v>3389</v>
      </c>
      <c r="G41" s="817">
        <f>+OTCHET!I195+OTCHET!I203</f>
        <v>0</v>
      </c>
      <c r="H41" s="818">
        <f>+OTCHET!J195+OTCHET!J203</f>
        <v>3389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115002</v>
      </c>
      <c r="F42" s="816">
        <f t="shared" si="1"/>
        <v>85815</v>
      </c>
      <c r="G42" s="817">
        <f>+OTCHET!I204+OTCHET!I222+OTCHET!I271</f>
        <v>0</v>
      </c>
      <c r="H42" s="818">
        <f>+OTCHET!J204+OTCHET!J222+OTCHET!J271</f>
        <v>85815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298068</v>
      </c>
      <c r="F48" s="816">
        <f t="shared" si="1"/>
        <v>57266</v>
      </c>
      <c r="G48" s="817">
        <f>OTCHET!I275+OTCHET!I276+OTCHET!I284+OTCHET!I287</f>
        <v>0</v>
      </c>
      <c r="H48" s="818">
        <f>OTCHET!J275+OTCHET!J276+OTCHET!J284+OTCHET!J287</f>
        <v>57266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9388</v>
      </c>
      <c r="G54" s="895">
        <f>+G55+G56+G60</f>
        <v>0</v>
      </c>
      <c r="H54" s="896">
        <f>+H55+H56+H60</f>
        <v>9388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9388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9388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-19214</v>
      </c>
      <c r="G62" s="930">
        <f>+G22-G38+G54-G61</f>
        <v>0</v>
      </c>
      <c r="H62" s="931">
        <f>+H22-H38+H54-H61</f>
        <v>-19214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19214</v>
      </c>
      <c r="G64" s="940">
        <f>SUM(+G66+G74+G75+G82+G83+G84+G87+G88+G89+G90+G91+G92+G93)</f>
        <v>0</v>
      </c>
      <c r="H64" s="941">
        <f>SUM(+H66+H74+H75+H82+H83+H84+H87+H88+H89+H90+H91+H92+H93)</f>
        <v>19214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19214</v>
      </c>
      <c r="G84" s="908">
        <f>+G85+G86</f>
        <v>0</v>
      </c>
      <c r="H84" s="909">
        <f>+H85+H86</f>
        <v>19214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19214</v>
      </c>
      <c r="G86" s="966">
        <f>+OTCHET!I517+OTCHET!I520+OTCHET!I540</f>
        <v>0</v>
      </c>
      <c r="H86" s="967">
        <f>+OTCHET!J517+OTCHET!J520+OTCHET!J540</f>
        <v>19214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Радослава Горанова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Силвия Еленкова</v>
      </c>
      <c r="F112" s="1752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" right="0.2362204724409449" top="0.17" bottom="0.17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ДЕС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2070</v>
      </c>
      <c r="C9" s="1799"/>
      <c r="D9" s="1800"/>
      <c r="E9" s="115">
        <v>42736</v>
      </c>
      <c r="F9" s="116">
        <v>43008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Чипровци</v>
      </c>
      <c r="C12" s="1802"/>
      <c r="D12" s="1803"/>
      <c r="E12" s="118" t="s">
        <v>985</v>
      </c>
      <c r="F12" s="1592" t="s">
        <v>1500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788" t="s">
        <v>2045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451454</v>
      </c>
      <c r="F141" s="168">
        <f t="shared" si="29"/>
        <v>0</v>
      </c>
      <c r="G141" s="169">
        <f t="shared" si="29"/>
        <v>451454</v>
      </c>
      <c r="H141" s="170">
        <f>SUM(H142:H149)</f>
        <v>0</v>
      </c>
      <c r="I141" s="168">
        <f t="shared" si="29"/>
        <v>0</v>
      </c>
      <c r="J141" s="169">
        <f t="shared" si="29"/>
        <v>133867</v>
      </c>
      <c r="K141" s="170">
        <f>SUM(K142:K149)</f>
        <v>0</v>
      </c>
      <c r="L141" s="1378">
        <f t="shared" si="29"/>
        <v>133867</v>
      </c>
      <c r="M141" s="7">
        <f t="shared" si="16"/>
        <v>1</v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451454</v>
      </c>
      <c r="F144" s="158"/>
      <c r="G144" s="159">
        <v>451454</v>
      </c>
      <c r="H144" s="160">
        <v>0</v>
      </c>
      <c r="I144" s="158"/>
      <c r="J144" s="159">
        <v>133867</v>
      </c>
      <c r="K144" s="160">
        <v>0</v>
      </c>
      <c r="L144" s="296">
        <f t="shared" si="31"/>
        <v>133867</v>
      </c>
      <c r="M144" s="7">
        <f t="shared" si="16"/>
        <v>1</v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451454</v>
      </c>
      <c r="F168" s="212">
        <f t="shared" si="39"/>
        <v>0</v>
      </c>
      <c r="G168" s="213">
        <f t="shared" si="39"/>
        <v>451454</v>
      </c>
      <c r="H168" s="214">
        <f t="shared" si="39"/>
        <v>0</v>
      </c>
      <c r="I168" s="212">
        <f t="shared" si="39"/>
        <v>0</v>
      </c>
      <c r="J168" s="213">
        <f t="shared" si="39"/>
        <v>133867</v>
      </c>
      <c r="K168" s="214">
        <f t="shared" si="39"/>
        <v>0</v>
      </c>
      <c r="L168" s="211">
        <f t="shared" si="39"/>
        <v>133867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ДЕС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Чипровци</v>
      </c>
      <c r="C175" s="1772"/>
      <c r="D175" s="1773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Чипровци</v>
      </c>
      <c r="C178" s="1802"/>
      <c r="D178" s="1803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30900</v>
      </c>
      <c r="F189" s="275">
        <f t="shared" si="45"/>
        <v>0</v>
      </c>
      <c r="G189" s="276">
        <f t="shared" si="45"/>
        <v>30900</v>
      </c>
      <c r="H189" s="277">
        <f t="shared" si="45"/>
        <v>0</v>
      </c>
      <c r="I189" s="275">
        <f t="shared" si="45"/>
        <v>0</v>
      </c>
      <c r="J189" s="276">
        <f t="shared" si="45"/>
        <v>15999</v>
      </c>
      <c r="K189" s="277">
        <f t="shared" si="45"/>
        <v>0</v>
      </c>
      <c r="L189" s="274">
        <f t="shared" si="45"/>
        <v>15999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30900</v>
      </c>
      <c r="F194" s="289">
        <f t="shared" si="46"/>
        <v>0</v>
      </c>
      <c r="G194" s="290">
        <f t="shared" si="46"/>
        <v>30900</v>
      </c>
      <c r="H194" s="291">
        <f t="shared" si="46"/>
        <v>0</v>
      </c>
      <c r="I194" s="289">
        <f t="shared" si="46"/>
        <v>0</v>
      </c>
      <c r="J194" s="290">
        <f t="shared" si="46"/>
        <v>15999</v>
      </c>
      <c r="K194" s="291">
        <f t="shared" si="46"/>
        <v>0</v>
      </c>
      <c r="L194" s="288">
        <f t="shared" si="46"/>
        <v>15999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7484</v>
      </c>
      <c r="F195" s="275">
        <f t="shared" si="47"/>
        <v>0</v>
      </c>
      <c r="G195" s="276">
        <f t="shared" si="47"/>
        <v>7484</v>
      </c>
      <c r="H195" s="277">
        <f t="shared" si="47"/>
        <v>0</v>
      </c>
      <c r="I195" s="275">
        <f t="shared" si="47"/>
        <v>0</v>
      </c>
      <c r="J195" s="276">
        <f t="shared" si="47"/>
        <v>3389</v>
      </c>
      <c r="K195" s="277">
        <f t="shared" si="47"/>
        <v>0</v>
      </c>
      <c r="L195" s="274">
        <f t="shared" si="47"/>
        <v>3389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4284</v>
      </c>
      <c r="F196" s="283">
        <f t="shared" si="48"/>
        <v>0</v>
      </c>
      <c r="G196" s="284">
        <f t="shared" si="48"/>
        <v>4284</v>
      </c>
      <c r="H196" s="285">
        <f t="shared" si="48"/>
        <v>0</v>
      </c>
      <c r="I196" s="283">
        <f t="shared" si="48"/>
        <v>0</v>
      </c>
      <c r="J196" s="284">
        <f t="shared" si="48"/>
        <v>1983</v>
      </c>
      <c r="K196" s="285">
        <f t="shared" si="48"/>
        <v>0</v>
      </c>
      <c r="L196" s="282">
        <f t="shared" si="48"/>
        <v>1983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2000</v>
      </c>
      <c r="F199" s="297">
        <f t="shared" si="48"/>
        <v>0</v>
      </c>
      <c r="G199" s="298">
        <f t="shared" si="48"/>
        <v>2000</v>
      </c>
      <c r="H199" s="299">
        <f t="shared" si="48"/>
        <v>0</v>
      </c>
      <c r="I199" s="297">
        <f t="shared" si="48"/>
        <v>0</v>
      </c>
      <c r="J199" s="298">
        <f t="shared" si="48"/>
        <v>879</v>
      </c>
      <c r="K199" s="299">
        <f t="shared" si="48"/>
        <v>0</v>
      </c>
      <c r="L199" s="296">
        <f t="shared" si="48"/>
        <v>879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1200</v>
      </c>
      <c r="F200" s="297">
        <f t="shared" si="48"/>
        <v>0</v>
      </c>
      <c r="G200" s="298">
        <f t="shared" si="48"/>
        <v>1200</v>
      </c>
      <c r="H200" s="299">
        <f t="shared" si="48"/>
        <v>0</v>
      </c>
      <c r="I200" s="297">
        <f t="shared" si="48"/>
        <v>0</v>
      </c>
      <c r="J200" s="298">
        <f t="shared" si="48"/>
        <v>527</v>
      </c>
      <c r="K200" s="299">
        <f t="shared" si="48"/>
        <v>0</v>
      </c>
      <c r="L200" s="296">
        <f t="shared" si="48"/>
        <v>527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115002</v>
      </c>
      <c r="F204" s="275">
        <f t="shared" si="49"/>
        <v>0</v>
      </c>
      <c r="G204" s="276">
        <f t="shared" si="49"/>
        <v>115002</v>
      </c>
      <c r="H204" s="277">
        <f t="shared" si="49"/>
        <v>0</v>
      </c>
      <c r="I204" s="275">
        <f t="shared" si="49"/>
        <v>0</v>
      </c>
      <c r="J204" s="276">
        <f t="shared" si="49"/>
        <v>85815</v>
      </c>
      <c r="K204" s="277">
        <f t="shared" si="49"/>
        <v>0</v>
      </c>
      <c r="L204" s="311">
        <f t="shared" si="49"/>
        <v>85815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5758</v>
      </c>
      <c r="F209" s="297">
        <f t="shared" si="50"/>
        <v>0</v>
      </c>
      <c r="G209" s="298">
        <f t="shared" si="50"/>
        <v>5758</v>
      </c>
      <c r="H209" s="299">
        <f t="shared" si="50"/>
        <v>0</v>
      </c>
      <c r="I209" s="297">
        <f t="shared" si="50"/>
        <v>0</v>
      </c>
      <c r="J209" s="298">
        <f t="shared" si="50"/>
        <v>308</v>
      </c>
      <c r="K209" s="299">
        <f t="shared" si="50"/>
        <v>0</v>
      </c>
      <c r="L209" s="296">
        <f t="shared" si="50"/>
        <v>308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108669</v>
      </c>
      <c r="F211" s="322">
        <f t="shared" si="50"/>
        <v>0</v>
      </c>
      <c r="G211" s="323">
        <f t="shared" si="50"/>
        <v>108669</v>
      </c>
      <c r="H211" s="324">
        <f t="shared" si="50"/>
        <v>0</v>
      </c>
      <c r="I211" s="322">
        <f t="shared" si="50"/>
        <v>0</v>
      </c>
      <c r="J211" s="323">
        <f t="shared" si="50"/>
        <v>85507</v>
      </c>
      <c r="K211" s="324">
        <f t="shared" si="50"/>
        <v>0</v>
      </c>
      <c r="L211" s="321">
        <f t="shared" si="50"/>
        <v>85507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575</v>
      </c>
      <c r="F214" s="297">
        <f t="shared" si="50"/>
        <v>0</v>
      </c>
      <c r="G214" s="298">
        <f t="shared" si="50"/>
        <v>575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  <v>1</v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298068</v>
      </c>
      <c r="F275" s="275">
        <f t="shared" si="70"/>
        <v>0</v>
      </c>
      <c r="G275" s="276">
        <f t="shared" si="70"/>
        <v>298068</v>
      </c>
      <c r="H275" s="277">
        <f t="shared" si="70"/>
        <v>0</v>
      </c>
      <c r="I275" s="275">
        <f t="shared" si="70"/>
        <v>0</v>
      </c>
      <c r="J275" s="276">
        <f t="shared" si="70"/>
        <v>57266</v>
      </c>
      <c r="K275" s="277">
        <f t="shared" si="70"/>
        <v>0</v>
      </c>
      <c r="L275" s="311">
        <f t="shared" si="70"/>
        <v>57266</v>
      </c>
      <c r="M275" s="7">
        <f t="shared" si="63"/>
        <v>1</v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451454</v>
      </c>
      <c r="F301" s="397">
        <f t="shared" si="79"/>
        <v>0</v>
      </c>
      <c r="G301" s="398">
        <f t="shared" si="79"/>
        <v>451454</v>
      </c>
      <c r="H301" s="399">
        <f t="shared" si="79"/>
        <v>0</v>
      </c>
      <c r="I301" s="397">
        <f t="shared" si="79"/>
        <v>0</v>
      </c>
      <c r="J301" s="398">
        <f t="shared" si="79"/>
        <v>162469</v>
      </c>
      <c r="K301" s="399">
        <f t="shared" si="79"/>
        <v>0</v>
      </c>
      <c r="L301" s="396">
        <f t="shared" si="79"/>
        <v>162469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ДЕС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Чипровци</v>
      </c>
      <c r="C346" s="1772"/>
      <c r="D346" s="1773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Чипровци</v>
      </c>
      <c r="C349" s="1802"/>
      <c r="D349" s="1803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91" t="s">
        <v>2048</v>
      </c>
      <c r="F353" s="1792"/>
      <c r="G353" s="1792"/>
      <c r="H353" s="179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9388</v>
      </c>
      <c r="K392" s="446">
        <f>SUM(K393:K394)</f>
        <v>0</v>
      </c>
      <c r="L392" s="1380">
        <f t="shared" si="91"/>
        <v>9388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>
        <v>9388</v>
      </c>
      <c r="K393" s="154">
        <v>0</v>
      </c>
      <c r="L393" s="1381">
        <f>I393+J393+K393</f>
        <v>9388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944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699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700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718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9388</v>
      </c>
      <c r="K415" s="516">
        <f>SUM(K357,K371,K379,K384,K387,K392,K395,K398,K401,K402,K405,K408)</f>
        <v>0</v>
      </c>
      <c r="L415" s="513">
        <f t="shared" si="98"/>
        <v>9388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786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723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702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948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ДЕС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Чипровци</v>
      </c>
      <c r="C431" s="1772"/>
      <c r="D431" s="1773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Чипровци</v>
      </c>
      <c r="C434" s="1802"/>
      <c r="D434" s="1803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-19214</v>
      </c>
      <c r="K441" s="549">
        <f t="shared" si="103"/>
        <v>0</v>
      </c>
      <c r="L441" s="550">
        <f t="shared" si="103"/>
        <v>-19214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19214</v>
      </c>
      <c r="K442" s="556">
        <f t="shared" si="104"/>
        <v>0</v>
      </c>
      <c r="L442" s="557">
        <f>+L593</f>
        <v>19214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ДЕС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Чипровци</v>
      </c>
      <c r="C447" s="1772"/>
      <c r="D447" s="1773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Чипровци</v>
      </c>
      <c r="C450" s="1802"/>
      <c r="D450" s="1803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85" t="s">
        <v>2052</v>
      </c>
      <c r="F454" s="1786"/>
      <c r="G454" s="1786"/>
      <c r="H454" s="178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787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790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2026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793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800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952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957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958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959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960</v>
      </c>
      <c r="D520" s="1820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19214</v>
      </c>
      <c r="K520" s="582">
        <f t="shared" si="125"/>
        <v>0</v>
      </c>
      <c r="L520" s="579">
        <f t="shared" si="125"/>
        <v>19214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>
        <v>19214</v>
      </c>
      <c r="K523" s="586">
        <v>0</v>
      </c>
      <c r="L523" s="1389">
        <f t="shared" si="121"/>
        <v>19214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962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963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964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965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974</v>
      </c>
      <c r="D562" s="181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979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852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19214</v>
      </c>
      <c r="K593" s="667">
        <f t="shared" si="138"/>
        <v>0</v>
      </c>
      <c r="L593" s="663">
        <f t="shared" si="138"/>
        <v>19214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 t="s">
        <v>2062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2061</v>
      </c>
      <c r="E599" s="672"/>
      <c r="F599" s="219" t="s">
        <v>899</v>
      </c>
      <c r="G599" s="1829" t="s">
        <v>2063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900</v>
      </c>
      <c r="C600" s="1836"/>
      <c r="D600" s="673" t="s">
        <v>901</v>
      </c>
      <c r="E600" s="674"/>
      <c r="F600" s="675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2069</v>
      </c>
      <c r="C601" s="1839"/>
      <c r="D601" s="676" t="s">
        <v>902</v>
      </c>
      <c r="E601" s="677" t="s">
        <v>2060</v>
      </c>
      <c r="F601" s="678">
        <v>878101238</v>
      </c>
      <c r="G601" s="679" t="s">
        <v>903</v>
      </c>
      <c r="H601" s="1840" t="s">
        <v>2064</v>
      </c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 t="s">
        <v>2065</v>
      </c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ДЕС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Чипровци</v>
      </c>
      <c r="C610" s="1772"/>
      <c r="D610" s="1773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Чипровци</v>
      </c>
      <c r="C613" s="1775"/>
      <c r="D613" s="1776"/>
      <c r="E613" s="411" t="s">
        <v>910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96</v>
      </c>
      <c r="F615" s="415" t="str">
        <f>$F$15</f>
        <v>СЕС - ДЕС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6618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31.5">
      <c r="B622" s="1456"/>
      <c r="C622" s="1593">
        <f>+C621</f>
        <v>6618</v>
      </c>
      <c r="D622" s="1458" t="s">
        <v>607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30900</v>
      </c>
      <c r="F627" s="275">
        <f t="shared" si="141"/>
        <v>0</v>
      </c>
      <c r="G627" s="276">
        <f t="shared" si="141"/>
        <v>30900</v>
      </c>
      <c r="H627" s="277">
        <f>SUM(H628:H632)</f>
        <v>0</v>
      </c>
      <c r="I627" s="275">
        <f t="shared" si="141"/>
        <v>0</v>
      </c>
      <c r="J627" s="276">
        <f t="shared" si="141"/>
        <v>15999</v>
      </c>
      <c r="K627" s="277">
        <f t="shared" si="141"/>
        <v>0</v>
      </c>
      <c r="L627" s="274">
        <f t="shared" si="141"/>
        <v>15999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30900</v>
      </c>
      <c r="F632" s="173"/>
      <c r="G632" s="174">
        <v>30900</v>
      </c>
      <c r="H632" s="1427"/>
      <c r="I632" s="173"/>
      <c r="J632" s="174">
        <v>15999</v>
      </c>
      <c r="K632" s="1427"/>
      <c r="L632" s="288">
        <f>I632+J632+K632</f>
        <v>15999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7484</v>
      </c>
      <c r="F633" s="275">
        <f t="shared" si="142"/>
        <v>0</v>
      </c>
      <c r="G633" s="276">
        <f t="shared" si="142"/>
        <v>7484</v>
      </c>
      <c r="H633" s="277">
        <f>SUM(H634:H640)</f>
        <v>0</v>
      </c>
      <c r="I633" s="275">
        <f t="shared" si="142"/>
        <v>0</v>
      </c>
      <c r="J633" s="276">
        <f t="shared" si="142"/>
        <v>3389</v>
      </c>
      <c r="K633" s="277">
        <f t="shared" si="142"/>
        <v>0</v>
      </c>
      <c r="L633" s="274">
        <f t="shared" si="142"/>
        <v>3389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4284</v>
      </c>
      <c r="F634" s="152"/>
      <c r="G634" s="153">
        <v>4284</v>
      </c>
      <c r="H634" s="1421"/>
      <c r="I634" s="152"/>
      <c r="J634" s="153">
        <v>1983</v>
      </c>
      <c r="K634" s="1421"/>
      <c r="L634" s="282">
        <f aca="true" t="shared" si="144" ref="L634:L641">I634+J634+K634</f>
        <v>1983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2000</v>
      </c>
      <c r="F637" s="158"/>
      <c r="G637" s="159">
        <v>2000</v>
      </c>
      <c r="H637" s="1426"/>
      <c r="I637" s="158"/>
      <c r="J637" s="159">
        <v>879</v>
      </c>
      <c r="K637" s="1426"/>
      <c r="L637" s="296">
        <f t="shared" si="144"/>
        <v>879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1200</v>
      </c>
      <c r="F638" s="158"/>
      <c r="G638" s="159">
        <v>1200</v>
      </c>
      <c r="H638" s="1426"/>
      <c r="I638" s="158"/>
      <c r="J638" s="159">
        <v>527</v>
      </c>
      <c r="K638" s="1426"/>
      <c r="L638" s="296">
        <f t="shared" si="144"/>
        <v>527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115002</v>
      </c>
      <c r="F642" s="275">
        <f t="shared" si="145"/>
        <v>0</v>
      </c>
      <c r="G642" s="276">
        <f t="shared" si="145"/>
        <v>115002</v>
      </c>
      <c r="H642" s="277">
        <f>SUM(H643:H659)</f>
        <v>0</v>
      </c>
      <c r="I642" s="275">
        <f t="shared" si="145"/>
        <v>0</v>
      </c>
      <c r="J642" s="276">
        <f t="shared" si="145"/>
        <v>85815</v>
      </c>
      <c r="K642" s="277">
        <f t="shared" si="145"/>
        <v>0</v>
      </c>
      <c r="L642" s="311">
        <f t="shared" si="145"/>
        <v>85815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5758</v>
      </c>
      <c r="F647" s="158"/>
      <c r="G647" s="159">
        <v>5758</v>
      </c>
      <c r="H647" s="1426"/>
      <c r="I647" s="158"/>
      <c r="J647" s="159">
        <v>308</v>
      </c>
      <c r="K647" s="1426"/>
      <c r="L647" s="296">
        <f t="shared" si="147"/>
        <v>308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108669</v>
      </c>
      <c r="F649" s="455"/>
      <c r="G649" s="456">
        <v>108669</v>
      </c>
      <c r="H649" s="1434"/>
      <c r="I649" s="455"/>
      <c r="J649" s="456">
        <v>85507</v>
      </c>
      <c r="K649" s="1434"/>
      <c r="L649" s="321">
        <f t="shared" si="147"/>
        <v>85507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575</v>
      </c>
      <c r="F652" s="158"/>
      <c r="G652" s="159">
        <v>575</v>
      </c>
      <c r="H652" s="1426"/>
      <c r="I652" s="158"/>
      <c r="J652" s="159"/>
      <c r="K652" s="1426"/>
      <c r="L652" s="296">
        <f t="shared" si="147"/>
        <v>0</v>
      </c>
      <c r="M652" s="12">
        <f t="shared" si="140"/>
        <v>1</v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298068</v>
      </c>
      <c r="F713" s="1428"/>
      <c r="G713" s="1429">
        <v>298068</v>
      </c>
      <c r="H713" s="1430"/>
      <c r="I713" s="1428"/>
      <c r="J713" s="1429">
        <v>57266</v>
      </c>
      <c r="K713" s="1430"/>
      <c r="L713" s="311">
        <f>I713+J713+K713</f>
        <v>57266</v>
      </c>
      <c r="M713" s="12">
        <f t="shared" si="159"/>
        <v>1</v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451454</v>
      </c>
      <c r="F740" s="397">
        <f t="shared" si="173"/>
        <v>0</v>
      </c>
      <c r="G740" s="398">
        <f t="shared" si="173"/>
        <v>451454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162469</v>
      </c>
      <c r="K740" s="399">
        <f t="shared" si="173"/>
        <v>0</v>
      </c>
      <c r="L740" s="396">
        <f t="shared" si="173"/>
        <v>162469</v>
      </c>
      <c r="M740" s="12">
        <f>(IF($E740&lt;&gt;0,$M$2,IF($L740&lt;&gt;0,$M$2,"")))</f>
        <v>1</v>
      </c>
      <c r="N740" s="73" t="str">
        <f>LEFT(C621,1)</f>
        <v>6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17" right="0.15748031496062992" top="0.17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2068</v>
      </c>
      <c r="I2" s="61"/>
    </row>
    <row r="3" spans="1:9" ht="12.75">
      <c r="A3" s="61" t="s">
        <v>728</v>
      </c>
      <c r="B3" s="61" t="s">
        <v>2066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2067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2017-10-25T10:31:32Z</cp:lastPrinted>
  <dcterms:created xsi:type="dcterms:W3CDTF">1997-12-10T11:54:07Z</dcterms:created>
  <dcterms:modified xsi:type="dcterms:W3CDTF">2017-10-25T10:31:37Z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